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igdansk-my.sharepoint.com/personal/karolina_chajbos_gdansk_gda_pl/Documents/Pulpit/Dostawa roślin jednorocznych/postępowanie/"/>
    </mc:Choice>
  </mc:AlternateContent>
  <xr:revisionPtr revIDLastSave="7" documentId="8_{57665021-B9AE-43C9-86F7-7828A4CC355B}" xr6:coauthVersionLast="47" xr6:coauthVersionMax="47" xr10:uidLastSave="{ECA3DA1B-2F52-4BFF-88E5-E3691ABB54DD}"/>
  <bookViews>
    <workbookView xWindow="-120" yWindow="-120" windowWidth="29040" windowHeight="15720" xr2:uid="{9F1F3B33-A68D-4ABF-8470-42FE28AE5362}"/>
  </bookViews>
  <sheets>
    <sheet name="Zakres - Parki Zabytkowe 26-27" sheetId="8" r:id="rId1"/>
  </sheets>
  <definedNames>
    <definedName name="_xlnm.Print_Area" localSheetId="0">'Zakres - Parki Zabytkowe 26-27'!$A$1:$G$68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6" i="8" l="1"/>
  <c r="G126" i="8" s="1"/>
  <c r="E125" i="8"/>
  <c r="G125" i="8" s="1"/>
  <c r="E124" i="8"/>
  <c r="G124" i="8" s="1"/>
  <c r="E123" i="8"/>
  <c r="E122" i="8"/>
  <c r="G122" i="8" s="1"/>
  <c r="E121" i="8"/>
  <c r="G121" i="8" s="1"/>
  <c r="E118" i="8"/>
  <c r="G118" i="8" s="1"/>
  <c r="E117" i="8"/>
  <c r="G117" i="8" s="1"/>
  <c r="E116" i="8"/>
  <c r="G116" i="8" s="1"/>
  <c r="G115" i="8"/>
  <c r="E114" i="8"/>
  <c r="G114" i="8" s="1"/>
  <c r="E113" i="8"/>
  <c r="G113" i="8" s="1"/>
  <c r="E112" i="8"/>
  <c r="G112" i="8" s="1"/>
  <c r="E111" i="8"/>
  <c r="G111" i="8" s="1"/>
  <c r="E110" i="8"/>
  <c r="G110" i="8" s="1"/>
  <c r="G109" i="8"/>
  <c r="E108" i="8"/>
  <c r="G108" i="8" s="1"/>
  <c r="E107" i="8"/>
  <c r="G107" i="8" s="1"/>
  <c r="E106" i="8"/>
  <c r="G106" i="8" s="1"/>
  <c r="E105" i="8"/>
  <c r="G105" i="8" s="1"/>
  <c r="G104" i="8"/>
  <c r="E103" i="8"/>
  <c r="G103" i="8" s="1"/>
  <c r="E102" i="8"/>
  <c r="G102" i="8" s="1"/>
  <c r="E101" i="8"/>
  <c r="G101" i="8" s="1"/>
  <c r="G100" i="8"/>
  <c r="E99" i="8"/>
  <c r="G99" i="8" s="1"/>
  <c r="E98" i="8"/>
  <c r="G98" i="8" s="1"/>
  <c r="E97" i="8"/>
  <c r="G97" i="8" s="1"/>
  <c r="E96" i="8"/>
  <c r="G96" i="8" s="1"/>
  <c r="E95" i="8"/>
  <c r="G95" i="8" s="1"/>
  <c r="E94" i="8"/>
  <c r="G91" i="8"/>
  <c r="G90" i="8"/>
  <c r="G89" i="8"/>
  <c r="E87" i="8"/>
  <c r="G87" i="8" s="1"/>
  <c r="G86" i="8"/>
  <c r="E85" i="8"/>
  <c r="G85" i="8" s="1"/>
  <c r="E84" i="8"/>
  <c r="G84" i="8" s="1"/>
  <c r="E83" i="8"/>
  <c r="G83" i="8" s="1"/>
  <c r="E82" i="8"/>
  <c r="G82" i="8" s="1"/>
  <c r="E81" i="8"/>
  <c r="G81" i="8" s="1"/>
  <c r="G80" i="8"/>
  <c r="E80" i="8"/>
  <c r="E79" i="8"/>
  <c r="G79" i="8" s="1"/>
  <c r="E78" i="8"/>
  <c r="G78" i="8" s="1"/>
  <c r="G76" i="8"/>
  <c r="G75" i="8"/>
  <c r="G74" i="8"/>
  <c r="G73" i="8"/>
  <c r="E72" i="8"/>
  <c r="E64" i="8"/>
  <c r="G64" i="8" s="1"/>
  <c r="E63" i="8"/>
  <c r="G63" i="8" s="1"/>
  <c r="E62" i="8"/>
  <c r="G62" i="8" s="1"/>
  <c r="E61" i="8"/>
  <c r="G61" i="8" s="1"/>
  <c r="E60" i="8"/>
  <c r="G60" i="8" s="1"/>
  <c r="E59" i="8"/>
  <c r="G59" i="8" s="1"/>
  <c r="E58" i="8"/>
  <c r="G58" i="8" s="1"/>
  <c r="E57" i="8"/>
  <c r="G57" i="8" s="1"/>
  <c r="E56" i="8"/>
  <c r="E53" i="8"/>
  <c r="G53" i="8" s="1"/>
  <c r="E52" i="8"/>
  <c r="G52" i="8" s="1"/>
  <c r="E51" i="8"/>
  <c r="G51" i="8" s="1"/>
  <c r="G50" i="8"/>
  <c r="E49" i="8"/>
  <c r="G49" i="8" s="1"/>
  <c r="E48" i="8"/>
  <c r="G48" i="8" s="1"/>
  <c r="E47" i="8"/>
  <c r="G47" i="8" s="1"/>
  <c r="E46" i="8"/>
  <c r="G46" i="8" s="1"/>
  <c r="E45" i="8"/>
  <c r="G45" i="8" s="1"/>
  <c r="E44" i="8"/>
  <c r="G44" i="8" s="1"/>
  <c r="E43" i="8"/>
  <c r="G43" i="8" s="1"/>
  <c r="E42" i="8"/>
  <c r="G42" i="8" s="1"/>
  <c r="E41" i="8"/>
  <c r="G41" i="8" s="1"/>
  <c r="E40" i="8"/>
  <c r="G40" i="8" s="1"/>
  <c r="E39" i="8"/>
  <c r="G39" i="8" s="1"/>
  <c r="E38" i="8"/>
  <c r="G38" i="8" s="1"/>
  <c r="E37" i="8"/>
  <c r="G37" i="8" s="1"/>
  <c r="E36" i="8"/>
  <c r="G36" i="8" s="1"/>
  <c r="E35" i="8"/>
  <c r="G35" i="8" s="1"/>
  <c r="E34" i="8"/>
  <c r="G34" i="8" s="1"/>
  <c r="E33" i="8"/>
  <c r="G33" i="8" s="1"/>
  <c r="E32" i="8"/>
  <c r="G32" i="8" s="1"/>
  <c r="E31" i="8"/>
  <c r="G31" i="8" s="1"/>
  <c r="E30" i="8"/>
  <c r="G30" i="8" s="1"/>
  <c r="E29" i="8"/>
  <c r="G29" i="8" s="1"/>
  <c r="E26" i="8"/>
  <c r="G26" i="8" s="1"/>
  <c r="E25" i="8"/>
  <c r="G25" i="8" s="1"/>
  <c r="E24" i="8"/>
  <c r="G24" i="8" s="1"/>
  <c r="E23" i="8"/>
  <c r="G23" i="8" s="1"/>
  <c r="E22" i="8"/>
  <c r="G22" i="8" s="1"/>
  <c r="E21" i="8"/>
  <c r="G21" i="8" s="1"/>
  <c r="E20" i="8"/>
  <c r="G20" i="8" s="1"/>
  <c r="E19" i="8"/>
  <c r="G19" i="8" s="1"/>
  <c r="E17" i="8"/>
  <c r="G17" i="8" s="1"/>
  <c r="G16" i="8"/>
  <c r="G15" i="8"/>
  <c r="E14" i="8"/>
  <c r="G14" i="8" s="1"/>
  <c r="E13" i="8"/>
  <c r="G13" i="8" s="1"/>
  <c r="E12" i="8"/>
  <c r="G12" i="8" s="1"/>
  <c r="E11" i="8"/>
  <c r="G11" i="8" s="1"/>
  <c r="E10" i="8"/>
  <c r="G10" i="8" s="1"/>
  <c r="E9" i="8"/>
  <c r="G9" i="8" s="1"/>
  <c r="E8" i="8"/>
  <c r="E27" i="8" s="1"/>
  <c r="E127" i="8" l="1"/>
  <c r="E92" i="8"/>
  <c r="E65" i="8"/>
  <c r="E119" i="8"/>
  <c r="E128" i="8"/>
  <c r="G72" i="8"/>
  <c r="G92" i="8" s="1"/>
  <c r="G94" i="8"/>
  <c r="G119" i="8" s="1"/>
  <c r="G123" i="8"/>
  <c r="G127" i="8" s="1"/>
  <c r="G54" i="8"/>
  <c r="G8" i="8"/>
  <c r="G27" i="8" s="1"/>
  <c r="E54" i="8"/>
  <c r="E66" i="8" s="1"/>
  <c r="G56" i="8"/>
  <c r="G65" i="8" s="1"/>
  <c r="G128" i="8" l="1"/>
  <c r="G66" i="8"/>
  <c r="G132" i="8" l="1"/>
  <c r="G130" i="8"/>
  <c r="G129" i="8"/>
  <c r="G68" i="8"/>
  <c r="G67" i="8"/>
  <c r="G134" i="8" l="1"/>
  <c r="G133" i="8"/>
</calcChain>
</file>

<file path=xl/sharedStrings.xml><?xml version="1.0" encoding="utf-8"?>
<sst xmlns="http://schemas.openxmlformats.org/spreadsheetml/2006/main" count="350" uniqueCount="202">
  <si>
    <t xml:space="preserve">Zakres  </t>
  </si>
  <si>
    <t xml:space="preserve">Lp. </t>
  </si>
  <si>
    <t>Nazwa towaru
Wyszczególnienie gatunków roślin</t>
  </si>
  <si>
    <t>Specyfikacja materiału roślinnego</t>
  </si>
  <si>
    <t>ilość                                (szt.)</t>
  </si>
  <si>
    <t>6.</t>
  </si>
  <si>
    <t>I</t>
  </si>
  <si>
    <t>Bratek drobnokwiatowy mini</t>
  </si>
  <si>
    <t xml:space="preserve">Bratek wielkokwiatowy
V. wittrockiana Delta odm. Pink Shades </t>
  </si>
  <si>
    <t xml:space="preserve">standartowy, kw.
pastelowy jasno fioletowy </t>
  </si>
  <si>
    <t>Bratek wielkokwiatowy
V.wittrockiana Delta odm. Yellow With Blotch</t>
  </si>
  <si>
    <t>standartowy, kw.
żółty z ciemnym wzorem</t>
  </si>
  <si>
    <t>Bratek wielkokwiatowy
V. wittrockiana Delta
 odm. Pure Rose</t>
  </si>
  <si>
    <t xml:space="preserve">standartowy, kw. jasnoczerwony z żółtym oczkiem i wzorem </t>
  </si>
  <si>
    <t>Bratek ogrodowy wielkokwiatowy Viola Wittrockiana odm. Rose with Bloch</t>
  </si>
  <si>
    <t>kw.  ciemnoróżowy z czarnym oczkiem</t>
  </si>
  <si>
    <t>kw. Fioletowy</t>
  </si>
  <si>
    <t>Stokrotka</t>
  </si>
  <si>
    <t>kw. białe</t>
  </si>
  <si>
    <t>kw. czerwone</t>
  </si>
  <si>
    <t>II</t>
  </si>
  <si>
    <t>Aksamitka rozpierzchła
Tagetes patula nana</t>
  </si>
  <si>
    <t>kw. złoto-żółty, pełny; odm. niska</t>
  </si>
  <si>
    <t xml:space="preserve">Gaura                                                                 Gaura lindheimeri  Pink lub Appleblossom           </t>
  </si>
  <si>
    <t xml:space="preserve">odm. wysoka do 60 cm, kwiat różowy </t>
  </si>
  <si>
    <t xml:space="preserve">odm. wysoka do 60 cm, kwiat ciemnorózowy różowy </t>
  </si>
  <si>
    <t>l. szare</t>
  </si>
  <si>
    <t>kw. ciemnoróżowy</t>
  </si>
  <si>
    <t xml:space="preserve">Razem: Dostawa letnia: </t>
  </si>
  <si>
    <t>III</t>
  </si>
  <si>
    <t>Chryzantema drobnokwiatowa 
jesienna np. Jasoda Orange</t>
  </si>
  <si>
    <t>f. kuli , kw. pomarańczowy                                   H- 30-40, śr. min. 50cm</t>
  </si>
  <si>
    <t>Chryzantema drobnokwiatowa
jesienna np. Jasoda Dark Yellow lub Yellow</t>
  </si>
  <si>
    <t xml:space="preserve">Razem: Dostawa jesienna: </t>
  </si>
  <si>
    <t>Razem: Dostawy  I, II, III:</t>
  </si>
  <si>
    <t>Netto:</t>
  </si>
  <si>
    <t>Brutto:</t>
  </si>
  <si>
    <t>Cena jedn. Netto (zł)</t>
  </si>
  <si>
    <t xml:space="preserve">Wartość 
Netto (zł) </t>
  </si>
  <si>
    <t>7.</t>
  </si>
  <si>
    <t>Zakres I Dostawa wiosenna</t>
  </si>
  <si>
    <t>1.</t>
  </si>
  <si>
    <t>2.</t>
  </si>
  <si>
    <t>3.</t>
  </si>
  <si>
    <t>4.</t>
  </si>
  <si>
    <t>5.</t>
  </si>
  <si>
    <t>kw. mix niebieski</t>
  </si>
  <si>
    <t>kw. mix żółty</t>
  </si>
  <si>
    <t>8.</t>
  </si>
  <si>
    <t>kw. jasno różowy z oczkiem</t>
  </si>
  <si>
    <t>9.</t>
  </si>
  <si>
    <t>kw. jasno niebieski</t>
  </si>
  <si>
    <t>10.</t>
  </si>
  <si>
    <t>kw. ciemno bordowy</t>
  </si>
  <si>
    <t>11.</t>
  </si>
  <si>
    <t>kw. żółty z oczkiem</t>
  </si>
  <si>
    <t>12.</t>
  </si>
  <si>
    <t>kw. różowo - żółty z ciemnym oczkiem</t>
  </si>
  <si>
    <t>13.</t>
  </si>
  <si>
    <t>kw. różowe z białymi środkami</t>
  </si>
  <si>
    <t>14.</t>
  </si>
  <si>
    <t>15.</t>
  </si>
  <si>
    <t>Bratek drobnokwiatowy
Viola cornuta F1
odm. Endurio Violet</t>
  </si>
  <si>
    <t>kw. fioletowy</t>
  </si>
  <si>
    <t xml:space="preserve">Bratek wielkokwiatowy </t>
  </si>
  <si>
    <t>23.</t>
  </si>
  <si>
    <t>24.</t>
  </si>
  <si>
    <t>25.</t>
  </si>
  <si>
    <t xml:space="preserve">standartowy, kw.
żółty bez wzoru </t>
  </si>
  <si>
    <t>16.</t>
  </si>
  <si>
    <t xml:space="preserve">Bratek wielkokwiatowy
V. wittrockiana Delta
odm. Clear Yellow </t>
  </si>
  <si>
    <t xml:space="preserve">Bratek wielkokwiatowy
V. wittrockiana Delta
odm. Clear orange </t>
  </si>
  <si>
    <t xml:space="preserve">standartowy, kw.
pomarańczowy bez wzoru </t>
  </si>
  <si>
    <t xml:space="preserve">Bratek wielkokwiatowy
V. wittrockiana Delta
odm. Clear Light Blue </t>
  </si>
  <si>
    <t xml:space="preserve">standartowy, kw.
niebieski, z oczkiem </t>
  </si>
  <si>
    <t>Bratek wielkokwiatowy
V. wittrockiana Delta
odm. Clear Violet</t>
  </si>
  <si>
    <t xml:space="preserve">standartowy, kw.
fioletowy bez wzoru </t>
  </si>
  <si>
    <t>17.</t>
  </si>
  <si>
    <t>18.</t>
  </si>
  <si>
    <t>19.</t>
  </si>
  <si>
    <t>20.</t>
  </si>
  <si>
    <t>21.</t>
  </si>
  <si>
    <t xml:space="preserve">Razem: dostawa wiosenna: </t>
  </si>
  <si>
    <t>II Dostawa letnia</t>
  </si>
  <si>
    <t>Aksamitka rozpierzchła Tagetes patula nana odm. Safari Tangerine</t>
  </si>
  <si>
    <t>kw. żółtopomarańczowe</t>
  </si>
  <si>
    <t>Begonia semperflorens
Volumia Pink</t>
  </si>
  <si>
    <t xml:space="preserve"> kw. różowy  jasny</t>
  </si>
  <si>
    <t>Begonia tuberhybrida
Swing - Yellow</t>
  </si>
  <si>
    <t>Begonia wielkokwiatowa, pełna żółta</t>
  </si>
  <si>
    <t>Begonia tuberhybrida
Illumination Salmon Pink</t>
  </si>
  <si>
    <t>Begonia wielkokwiatowa, pełna różowa/malinowa</t>
  </si>
  <si>
    <t>Begonia hybrida
Tophat Rosa Bricolor</t>
  </si>
  <si>
    <t xml:space="preserve"> kw. różowy</t>
  </si>
  <si>
    <t xml:space="preserve">Gaura Gaura lindheimeri Rose                </t>
  </si>
  <si>
    <t>Kosmos pierzasty
Cosmos bipinnatus 
odm. Apollo white imp.</t>
  </si>
  <si>
    <t>22.</t>
  </si>
  <si>
    <t>Szałwia omączona Salvia farinacea Mauritius</t>
  </si>
  <si>
    <t>Koleus blumego
Solenostemon blumei
odm. Mezmesize Lime Green</t>
  </si>
  <si>
    <t>l. żółtozielone</t>
  </si>
  <si>
    <t>Werbena patagońska 
Verbena bonariensis</t>
  </si>
  <si>
    <t>kw. fioletowy, wys. do 120cm</t>
  </si>
  <si>
    <t>Werbena patagońska
Verbena patagonica
odm. Lollipop</t>
  </si>
  <si>
    <t>kw. fioletowe</t>
  </si>
  <si>
    <t>Kanna pomarańczowa</t>
  </si>
  <si>
    <t>kw. pomarańczowa</t>
  </si>
  <si>
    <t>Kanna ogrodowa Canna generalis odm. Cannova Rose</t>
  </si>
  <si>
    <t>Dahlia x hybrida Dahlegria                                                                 Light Rose</t>
  </si>
  <si>
    <t>kw. jasnoróżowe, l. ciemnobordowe</t>
  </si>
  <si>
    <t>Dahlia x hybrida Dahlegria                                                                 Magenta Bicolor</t>
  </si>
  <si>
    <t>kw. cimnoróżowe z żółtym środkiem, l. ciemnobordowe</t>
  </si>
  <si>
    <t>Dahlia x hybrida Midalio                                                               White</t>
  </si>
  <si>
    <t>kw. biały z żółtym środkiem, l. zielony</t>
  </si>
  <si>
    <t>Dahlia x hybrida Midalio                                                                Pink</t>
  </si>
  <si>
    <t>kw. różowy, l. zielony</t>
  </si>
  <si>
    <t>Dahlia x hybrida Midalio                                                                 Orange</t>
  </si>
  <si>
    <t>kw. pomarańczowy, l. zielony</t>
  </si>
  <si>
    <t>Dalia zmienna Dahlia xhybrida Midalio odm. Orange</t>
  </si>
  <si>
    <t>kw. pomarańczowe z ciemniejszymi środkami</t>
  </si>
  <si>
    <t>Dalia zmienna Dahlia xhybrida odm. Happy Days Halo</t>
  </si>
  <si>
    <t>kw. różowe z żółtym środkiem, l. ciemnobordowe</t>
  </si>
  <si>
    <t>Tojeść rozesłana Lysimachia nummularia odm. Aurea</t>
  </si>
  <si>
    <t>Cynia marylandzka Zinnia marylandica odm. Double Zahara Cherry</t>
  </si>
  <si>
    <t>Rudbekia owłosiona
Rudbeckia hirta
odm. Praire sun</t>
  </si>
  <si>
    <t>kw. żółte z ciemniejszymi środkami</t>
  </si>
  <si>
    <t>III Dostawa jesienna</t>
  </si>
  <si>
    <t>f. kuli,  kw.  Żółty (z pomarańczowym środkiem)
H- 30-40, śr. min. 50cm</t>
  </si>
  <si>
    <t>Chryzantema drobnokwiatowa jesienna odm. Beppie Red</t>
  </si>
  <si>
    <t>Chryzantema drobnokwiatowa jesienna odm. Belle Gold</t>
  </si>
  <si>
    <t>kw. pomarańczowo - żółty                                   H- 30-40, śr. min. 40 cm</t>
  </si>
  <si>
    <t>Chryzantema Beppie Purple</t>
  </si>
  <si>
    <t>kw.różowy;    
H- 30-40, śr. min. 40 cm</t>
  </si>
  <si>
    <t>koronkowe, fioletowe liści; śr. min. 40 cm</t>
  </si>
  <si>
    <t>Kapusta ozdobna Brassica Oleracea odm. Peacock red</t>
  </si>
  <si>
    <t xml:space="preserve">l. szary
</t>
  </si>
  <si>
    <t xml:space="preserve">Starzec popielny Senecio maritima    </t>
  </si>
  <si>
    <t>Wrzos biały Calluna vulgaris 'Biały'</t>
  </si>
  <si>
    <t>l.drobny, kw.biały
H- 20-40, śr. min. 20 cm</t>
  </si>
  <si>
    <t>Wrzos czerwony Erica Carnea odm. Athene</t>
  </si>
  <si>
    <t>kw. intensywnie różowe</t>
  </si>
  <si>
    <t>Golteria rozesłana Gaultheria procumbens</t>
  </si>
  <si>
    <t>zimozielona krzewinka  
H- 10-20.</t>
  </si>
  <si>
    <t>x</t>
  </si>
  <si>
    <t>Vat 8%:</t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</si>
  <si>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Rocky Plum Mix</t>
    </r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</si>
  <si>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Rocky Lime Mix</t>
    </r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</si>
  <si>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Endurio Pink Shades</t>
    </r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</si>
  <si>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Endurio Sky Blue Martien</t>
    </r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</si>
  <si>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Endurio Red Flare</t>
    </r>
  </si>
  <si>
    <r>
      <t>Bratek</t>
    </r>
    <r>
      <rPr>
        <i/>
        <sz val="10"/>
        <rFont val="Calibri"/>
        <family val="2"/>
        <charset val="238"/>
      </rPr>
      <t xml:space="preserve"> Viola cornuta</t>
    </r>
    <r>
      <rPr>
        <sz val="10"/>
        <rFont val="Calibri"/>
        <family val="2"/>
        <charset val="238"/>
      </rPr>
      <t xml:space="preserve"> odm. Endurio Yellow</t>
    </r>
  </si>
  <si>
    <t>Bratek Viola Cornuta F1 odm. Rocky Orange with Purple Wing</t>
  </si>
  <si>
    <t>kw. pomarańczowy z fioletowymi płatkami</t>
  </si>
  <si>
    <t>Bratek Viola Cornuta F1 odm. Deltini Lavender Pink Face</t>
  </si>
  <si>
    <t>Bratek Viola Cornuta F1 odm. Rocky White with Blotch</t>
  </si>
  <si>
    <t>kw. białe z ciemnym środkiem</t>
  </si>
  <si>
    <t>Bratek Viola Cornuta F1 odm. Rocky Rose with Blotch</t>
  </si>
  <si>
    <t>kw. fioletowe z ciemniejszym środkiem</t>
  </si>
  <si>
    <t>Bratek wielkokwiatowy V. wittrockiana F1 odm. Delta Select Sangria Punch</t>
  </si>
  <si>
    <t>kw. czerwony z żółtym i czarnym środkiem</t>
  </si>
  <si>
    <t>Bratek wielkokwiatowy V. wittrockiana odm. Delta Pro Rose with blotch</t>
  </si>
  <si>
    <t>Bratek wielkokwiatowy
Viola wittrockiana F1
odm. Delta Orange with Blotch</t>
  </si>
  <si>
    <t>kw. pomarańczowy z czarnym oczkiem</t>
  </si>
  <si>
    <t>Stokrotka Pospolita Bellis Perennis odm. Pomponette biała</t>
  </si>
  <si>
    <t>kw. kuliste białe</t>
  </si>
  <si>
    <t>Stokrotka Pospolita Bellis Perennis odm. Pomponette różowa</t>
  </si>
  <si>
    <t>kw. kuliste różowe</t>
  </si>
  <si>
    <t>Stokrotka Pospolita Bellis Perennis odm. Pomponette różowa ciemna</t>
  </si>
  <si>
    <t>kw. kuliste ciemnoróżowe</t>
  </si>
  <si>
    <t>Aksamitka wzniesiona Tegetes erecta odm. Antigua</t>
  </si>
  <si>
    <t>Pelargonia Pelargonia interspecific odm. Calliope M Red Splash</t>
  </si>
  <si>
    <t>kw. Czerwonoróżowe</t>
  </si>
  <si>
    <t>Szałwia omączona Salvia farinacea odm. Velocity Silver</t>
  </si>
  <si>
    <t>kw. białe, wys. 20-25 cm</t>
  </si>
  <si>
    <t>Kanna ogrodowa Canna generalis odm. Cannova Scarlet Bronze Leaf</t>
  </si>
  <si>
    <t>kw. czerwone, l. brązowe</t>
  </si>
  <si>
    <t>Dalia zmienna Dahlia xhybrida Midalio odm. Scarlet</t>
  </si>
  <si>
    <t>Dalia zmienna Dahlia xhybrida odm. Happy Days White</t>
  </si>
  <si>
    <t>kw. białe, l. ciemnobordowe</t>
  </si>
  <si>
    <t>Dalia zmienna Dahlia xhybrida odm. Happy Days Scarlet</t>
  </si>
  <si>
    <t>kw. czerwone, l. ciemnobordowe</t>
  </si>
  <si>
    <t>Dalia zmienna Dahlia xhybrida Dahlegria odm. Tricolor</t>
  </si>
  <si>
    <t>kw. różowe (płatki ciemno i jasnoróżowe)</t>
  </si>
  <si>
    <t>Cynia wytworna Zinnia elegans odm. Mondo Salmon</t>
  </si>
  <si>
    <t>kw. Pomarańczoworóżowe</t>
  </si>
  <si>
    <t>kw. Pomarańczowy</t>
  </si>
  <si>
    <t>Wyżlin większy Antirrhinum majus odm. Snaptastic Scarlet Orange</t>
  </si>
  <si>
    <t>Proso rózgowate Panicum virgatum odm. Heavy Metal</t>
  </si>
  <si>
    <t>wys. Do 120</t>
  </si>
  <si>
    <t>kw. bordowy                                         H- 30-40, śr. min. 40 cm</t>
  </si>
  <si>
    <t>Bratek Viola Cornuta odm. Rocky Pineapple Crush</t>
  </si>
  <si>
    <t>Bratek Viola Cornuta odm. Deltini Rose Pink</t>
  </si>
  <si>
    <t>Bratek Viola Cornuta odm. Deltini Rocky Yellow</t>
  </si>
  <si>
    <t>Cynia marylandzka Zinnia marylandica odm. Profusion Orange</t>
  </si>
  <si>
    <t>kw. bordowy                                           H- 30-40, śr. min. 40 cm</t>
  </si>
  <si>
    <t xml:space="preserve">Podsumowanie Zakresu 2 - 2026 i 2027 </t>
  </si>
  <si>
    <t>Razem Netto: Zakres 2 - Parki Zabytkowe w 2026 i 2027 roku:</t>
  </si>
  <si>
    <t>Razem Vat 8%: Zakres 2 - Parki Zabytkowe w 2026 i 2027 roku:</t>
  </si>
  <si>
    <t>Razem Brutto: Zakres 2 - Parki Zabytkowe w 2026 i 2027 roku:</t>
  </si>
  <si>
    <t>Parki Zabytkowe 2027</t>
  </si>
  <si>
    <t xml:space="preserve"> Parki Zabytkowe 2026</t>
  </si>
  <si>
    <t>Kosztorys Wykonawcy do Umowy nr PZ/ … /A/2025 r.
z dnia ……….2026 r.
Tytuł postępowania: Dostawa kwiatów sezonowych do obsadzenia kwietników na terenie miasta Gdańska w latach 2026–2027 – Zakres 2.</t>
  </si>
  <si>
    <t>Sygn. postępowania ZP.2.PZ.2026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</si>
</sst>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\ _z_ł_-;\-* #,##0\ _z_ł_-;_-* &quot;-&quot;??\ _z_ł_-;_-@_-"/>
    <numFmt numFmtId="166" formatCode="#,##0.00\ &quot;zł&quot;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rgb="FF000000"/>
      </right>
      <top style="medium">
        <color indexed="64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medium">
        <color indexed="64"/>
      </top>
      <bottom style="double">
        <color rgb="FF000000"/>
      </bottom>
      <diagonal/>
    </border>
    <border>
      <left style="double">
        <color rgb="FF000000"/>
      </left>
      <right style="medium">
        <color indexed="64"/>
      </right>
      <top style="medium">
        <color indexed="64"/>
      </top>
      <bottom style="double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horizontal="center" vertical="center" wrapText="1"/>
    </xf>
    <xf numFmtId="2" fontId="6" fillId="4" borderId="3" xfId="0" applyNumberFormat="1" applyFont="1" applyFill="1" applyBorder="1" applyAlignment="1">
      <alignment vertical="center" wrapText="1"/>
    </xf>
    <xf numFmtId="0" fontId="0" fillId="0" borderId="9" xfId="0" applyBorder="1"/>
    <xf numFmtId="0" fontId="13" fillId="0" borderId="0" xfId="0" applyFont="1" applyAlignment="1">
      <alignment horizontal="center"/>
    </xf>
    <xf numFmtId="9" fontId="13" fillId="0" borderId="0" xfId="2" applyFont="1" applyAlignment="1">
      <alignment horizontal="center"/>
    </xf>
    <xf numFmtId="0" fontId="14" fillId="0" borderId="0" xfId="0" applyFont="1"/>
    <xf numFmtId="0" fontId="0" fillId="0" borderId="0" xfId="0" applyAlignment="1">
      <alignment horizontal="center" vertical="center"/>
    </xf>
    <xf numFmtId="2" fontId="6" fillId="4" borderId="11" xfId="0" applyNumberFormat="1" applyFont="1" applyFill="1" applyBorder="1" applyAlignment="1">
      <alignment vertical="center" wrapText="1"/>
    </xf>
    <xf numFmtId="44" fontId="12" fillId="0" borderId="4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2" fontId="12" fillId="0" borderId="11" xfId="0" applyNumberFormat="1" applyFont="1" applyBorder="1" applyAlignment="1">
      <alignment horizontal="center" vertical="center"/>
    </xf>
    <xf numFmtId="44" fontId="12" fillId="0" borderId="12" xfId="0" applyNumberFormat="1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2" fontId="12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Border="1" applyAlignment="1">
      <alignment horizontal="center" vertical="center"/>
    </xf>
    <xf numFmtId="44" fontId="12" fillId="0" borderId="8" xfId="0" applyNumberFormat="1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 wrapText="1"/>
    </xf>
    <xf numFmtId="0" fontId="16" fillId="0" borderId="25" xfId="0" applyFont="1" applyBorder="1" applyAlignment="1">
      <alignment vertical="center" wrapText="1"/>
    </xf>
    <xf numFmtId="0" fontId="16" fillId="0" borderId="26" xfId="0" applyFont="1" applyBorder="1" applyAlignment="1">
      <alignment vertical="center" wrapText="1"/>
    </xf>
    <xf numFmtId="0" fontId="6" fillId="0" borderId="29" xfId="0" applyFont="1" applyBorder="1" applyAlignment="1">
      <alignment horizontal="left" vertical="center" wrapText="1"/>
    </xf>
    <xf numFmtId="0" fontId="15" fillId="0" borderId="30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3" borderId="10" xfId="0" applyFont="1" applyFill="1" applyBorder="1" applyAlignment="1">
      <alignment wrapText="1"/>
    </xf>
    <xf numFmtId="0" fontId="6" fillId="3" borderId="10" xfId="0" applyFont="1" applyFill="1" applyBorder="1" applyAlignment="1">
      <alignment horizontal="left" vertical="center" wrapText="1"/>
    </xf>
    <xf numFmtId="0" fontId="6" fillId="0" borderId="25" xfId="0" applyFont="1" applyBorder="1" applyAlignment="1">
      <alignment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0" xfId="0" applyFont="1" applyBorder="1" applyAlignment="1">
      <alignment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2" borderId="25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left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wrapText="1"/>
    </xf>
    <xf numFmtId="0" fontId="16" fillId="2" borderId="26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0" borderId="25" xfId="0" applyFont="1" applyBorder="1" applyAlignment="1">
      <alignment wrapText="1"/>
    </xf>
    <xf numFmtId="0" fontId="6" fillId="0" borderId="10" xfId="0" applyFont="1" applyBorder="1" applyAlignment="1">
      <alignment horizontal="left" vertical="center" wrapText="1"/>
    </xf>
    <xf numFmtId="2" fontId="6" fillId="4" borderId="25" xfId="0" applyNumberFormat="1" applyFont="1" applyFill="1" applyBorder="1" applyAlignment="1">
      <alignment vertical="center" wrapText="1"/>
    </xf>
    <xf numFmtId="2" fontId="6" fillId="4" borderId="25" xfId="0" applyNumberFormat="1" applyFont="1" applyFill="1" applyBorder="1" applyAlignment="1">
      <alignment horizontal="left" vertical="center" wrapText="1"/>
    </xf>
    <xf numFmtId="0" fontId="15" fillId="3" borderId="30" xfId="0" applyFont="1" applyFill="1" applyBorder="1" applyAlignment="1">
      <alignment horizontal="center" vertical="center"/>
    </xf>
    <xf numFmtId="0" fontId="6" fillId="0" borderId="33" xfId="0" applyFont="1" applyBorder="1" applyAlignment="1">
      <alignment vertical="center" wrapText="1"/>
    </xf>
    <xf numFmtId="0" fontId="6" fillId="0" borderId="26" xfId="0" applyFont="1" applyBorder="1" applyAlignment="1">
      <alignment horizontal="left" vertical="center"/>
    </xf>
    <xf numFmtId="2" fontId="16" fillId="4" borderId="28" xfId="0" applyNumberFormat="1" applyFont="1" applyFill="1" applyBorder="1" applyAlignment="1">
      <alignment vertical="center" wrapText="1"/>
    </xf>
    <xf numFmtId="2" fontId="16" fillId="4" borderId="25" xfId="0" applyNumberFormat="1" applyFont="1" applyFill="1" applyBorder="1" applyAlignment="1">
      <alignment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2" fontId="7" fillId="0" borderId="4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left" vertical="center" wrapText="1"/>
    </xf>
    <xf numFmtId="0" fontId="15" fillId="0" borderId="47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 wrapText="1"/>
    </xf>
    <xf numFmtId="0" fontId="16" fillId="0" borderId="49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9" fontId="13" fillId="0" borderId="51" xfId="2" applyFont="1" applyBorder="1" applyAlignment="1">
      <alignment horizontal="center"/>
    </xf>
    <xf numFmtId="0" fontId="9" fillId="0" borderId="52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/>
    </xf>
    <xf numFmtId="44" fontId="7" fillId="0" borderId="52" xfId="0" applyNumberFormat="1" applyFont="1" applyBorder="1" applyAlignment="1">
      <alignment horizontal="center" vertical="center"/>
    </xf>
    <xf numFmtId="44" fontId="7" fillId="0" borderId="54" xfId="0" applyNumberFormat="1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2" fontId="7" fillId="0" borderId="55" xfId="0" applyNumberFormat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12" fillId="3" borderId="44" xfId="0" applyFont="1" applyFill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/>
    </xf>
    <xf numFmtId="165" fontId="6" fillId="4" borderId="34" xfId="1" applyNumberFormat="1" applyFont="1" applyFill="1" applyBorder="1" applyAlignment="1">
      <alignment horizontal="center" vertical="center" wrapText="1"/>
    </xf>
    <xf numFmtId="165" fontId="6" fillId="4" borderId="24" xfId="1" applyNumberFormat="1" applyFont="1" applyFill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165" fontId="4" fillId="4" borderId="57" xfId="1" applyNumberFormat="1" applyFont="1" applyFill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 wrapText="1"/>
    </xf>
    <xf numFmtId="0" fontId="15" fillId="0" borderId="45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3" borderId="3" xfId="0" applyFont="1" applyFill="1" applyBorder="1" applyAlignment="1">
      <alignment wrapText="1"/>
    </xf>
    <xf numFmtId="2" fontId="6" fillId="0" borderId="3" xfId="0" applyNumberFormat="1" applyFont="1" applyBorder="1" applyAlignment="1">
      <alignment horizontal="center" vertical="center"/>
    </xf>
    <xf numFmtId="2" fontId="12" fillId="0" borderId="10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left" vertical="center" wrapText="1"/>
    </xf>
    <xf numFmtId="165" fontId="6" fillId="4" borderId="5" xfId="1" applyNumberFormat="1" applyFont="1" applyFill="1" applyBorder="1" applyAlignment="1">
      <alignment horizontal="center" vertical="center" wrapText="1"/>
    </xf>
    <xf numFmtId="165" fontId="6" fillId="4" borderId="36" xfId="1" applyNumberFormat="1" applyFont="1" applyFill="1" applyBorder="1" applyAlignment="1">
      <alignment horizontal="center" vertical="center" wrapText="1"/>
    </xf>
    <xf numFmtId="165" fontId="6" fillId="4" borderId="14" xfId="1" applyNumberFormat="1" applyFont="1" applyFill="1" applyBorder="1" applyAlignment="1">
      <alignment horizontal="center" vertical="center" wrapText="1"/>
    </xf>
    <xf numFmtId="165" fontId="4" fillId="4" borderId="10" xfId="1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2" fontId="7" fillId="0" borderId="62" xfId="0" applyNumberFormat="1" applyFont="1" applyBorder="1" applyAlignment="1">
      <alignment horizontal="center" vertical="center"/>
    </xf>
    <xf numFmtId="44" fontId="7" fillId="0" borderId="52" xfId="1" applyNumberFormat="1" applyFont="1" applyBorder="1" applyAlignment="1">
      <alignment horizontal="center" vertical="center"/>
    </xf>
    <xf numFmtId="0" fontId="0" fillId="0" borderId="62" xfId="0" applyBorder="1"/>
    <xf numFmtId="2" fontId="7" fillId="0" borderId="30" xfId="0" applyNumberFormat="1" applyFont="1" applyBorder="1" applyAlignment="1">
      <alignment horizontal="center" vertical="center"/>
    </xf>
    <xf numFmtId="44" fontId="7" fillId="0" borderId="64" xfId="0" applyNumberFormat="1" applyFont="1" applyBorder="1" applyAlignment="1">
      <alignment horizontal="center" vertical="center"/>
    </xf>
    <xf numFmtId="2" fontId="7" fillId="0" borderId="63" xfId="0" applyNumberFormat="1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 wrapText="1"/>
    </xf>
    <xf numFmtId="166" fontId="2" fillId="0" borderId="53" xfId="0" applyNumberFormat="1" applyFont="1" applyBorder="1"/>
    <xf numFmtId="166" fontId="2" fillId="0" borderId="65" xfId="0" applyNumberFormat="1" applyFont="1" applyBorder="1"/>
    <xf numFmtId="2" fontId="12" fillId="0" borderId="23" xfId="0" applyNumberFormat="1" applyFont="1" applyBorder="1" applyAlignment="1">
      <alignment horizontal="center" vertical="center"/>
    </xf>
    <xf numFmtId="2" fontId="12" fillId="0" borderId="68" xfId="0" applyNumberFormat="1" applyFont="1" applyBorder="1" applyAlignment="1">
      <alignment horizontal="center" vertical="center"/>
    </xf>
    <xf numFmtId="44" fontId="12" fillId="0" borderId="70" xfId="0" applyNumberFormat="1" applyFont="1" applyBorder="1" applyAlignment="1">
      <alignment horizontal="center" vertical="center"/>
    </xf>
    <xf numFmtId="2" fontId="12" fillId="0" borderId="69" xfId="0" applyNumberFormat="1" applyFont="1" applyBorder="1" applyAlignment="1">
      <alignment horizontal="center" vertical="center"/>
    </xf>
    <xf numFmtId="2" fontId="6" fillId="0" borderId="68" xfId="0" applyNumberFormat="1" applyFont="1" applyBorder="1" applyAlignment="1">
      <alignment horizontal="center" vertical="center"/>
    </xf>
    <xf numFmtId="2" fontId="6" fillId="0" borderId="69" xfId="0" applyNumberFormat="1" applyFont="1" applyBorder="1" applyAlignment="1">
      <alignment horizontal="center" vertical="center"/>
    </xf>
    <xf numFmtId="0" fontId="15" fillId="0" borderId="6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68" xfId="0" applyFont="1" applyBorder="1" applyAlignment="1">
      <alignment horizontal="center" vertical="center"/>
    </xf>
    <xf numFmtId="0" fontId="15" fillId="0" borderId="41" xfId="0" applyFont="1" applyBorder="1" applyAlignment="1">
      <alignment horizontal="center" vertical="center"/>
    </xf>
    <xf numFmtId="0" fontId="6" fillId="0" borderId="68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6" fillId="0" borderId="6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16" fillId="0" borderId="68" xfId="0" applyFont="1" applyBorder="1" applyAlignment="1">
      <alignment vertical="center" wrapText="1"/>
    </xf>
    <xf numFmtId="0" fontId="16" fillId="0" borderId="68" xfId="0" applyFont="1" applyBorder="1" applyAlignment="1">
      <alignment horizontal="left" vertical="center" wrapText="1"/>
    </xf>
    <xf numFmtId="0" fontId="6" fillId="0" borderId="69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68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3" borderId="68" xfId="0" applyFont="1" applyFill="1" applyBorder="1" applyAlignment="1">
      <alignment wrapText="1"/>
    </xf>
    <xf numFmtId="0" fontId="6" fillId="3" borderId="68" xfId="0" applyFont="1" applyFill="1" applyBorder="1" applyAlignment="1">
      <alignment horizontal="left" vertical="center" wrapText="1"/>
    </xf>
    <xf numFmtId="0" fontId="6" fillId="0" borderId="68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/>
    </xf>
    <xf numFmtId="0" fontId="6" fillId="0" borderId="7" xfId="0" applyFont="1" applyBorder="1" applyAlignment="1">
      <alignment vertical="center" wrapText="1"/>
    </xf>
    <xf numFmtId="2" fontId="16" fillId="4" borderId="7" xfId="0" applyNumberFormat="1" applyFont="1" applyFill="1" applyBorder="1" applyAlignment="1">
      <alignment vertical="center" wrapText="1"/>
    </xf>
    <xf numFmtId="0" fontId="16" fillId="0" borderId="69" xfId="0" applyFont="1" applyBorder="1" applyAlignment="1">
      <alignment wrapText="1"/>
    </xf>
    <xf numFmtId="0" fontId="16" fillId="0" borderId="7" xfId="0" applyFont="1" applyBorder="1" applyAlignment="1">
      <alignment wrapText="1"/>
    </xf>
    <xf numFmtId="0" fontId="16" fillId="2" borderId="3" xfId="0" applyFont="1" applyFill="1" applyBorder="1" applyAlignment="1">
      <alignment horizontal="left" vertical="center" wrapText="1"/>
    </xf>
    <xf numFmtId="2" fontId="16" fillId="4" borderId="3" xfId="0" applyNumberFormat="1" applyFont="1" applyFill="1" applyBorder="1" applyAlignment="1">
      <alignment vertical="center" wrapText="1"/>
    </xf>
    <xf numFmtId="0" fontId="16" fillId="2" borderId="3" xfId="0" applyFont="1" applyFill="1" applyBorder="1" applyAlignment="1">
      <alignment wrapText="1"/>
    </xf>
    <xf numFmtId="2" fontId="12" fillId="6" borderId="24" xfId="0" applyNumberFormat="1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44" fontId="12" fillId="6" borderId="52" xfId="0" applyNumberFormat="1" applyFont="1" applyFill="1" applyBorder="1" applyAlignment="1">
      <alignment horizontal="center" vertical="center" wrapText="1"/>
    </xf>
    <xf numFmtId="0" fontId="12" fillId="6" borderId="32" xfId="0" applyFont="1" applyFill="1" applyBorder="1" applyAlignment="1">
      <alignment horizontal="center" vertical="center"/>
    </xf>
    <xf numFmtId="0" fontId="12" fillId="6" borderId="41" xfId="0" applyFont="1" applyFill="1" applyBorder="1" applyAlignment="1">
      <alignment horizontal="center" vertical="center" wrapText="1"/>
    </xf>
    <xf numFmtId="0" fontId="12" fillId="6" borderId="52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 wrapText="1"/>
    </xf>
    <xf numFmtId="165" fontId="4" fillId="7" borderId="10" xfId="1" applyNumberFormat="1" applyFont="1" applyFill="1" applyBorder="1" applyAlignment="1">
      <alignment horizontal="center" vertical="center" wrapText="1"/>
    </xf>
    <xf numFmtId="2" fontId="12" fillId="6" borderId="10" xfId="0" applyNumberFormat="1" applyFont="1" applyFill="1" applyBorder="1" applyAlignment="1">
      <alignment horizontal="center" vertical="center" wrapText="1"/>
    </xf>
    <xf numFmtId="44" fontId="12" fillId="6" borderId="52" xfId="0" applyNumberFormat="1" applyFont="1" applyFill="1" applyBorder="1" applyAlignment="1">
      <alignment horizontal="center" vertical="center"/>
    </xf>
    <xf numFmtId="44" fontId="0" fillId="0" borderId="10" xfId="0" applyNumberFormat="1" applyBorder="1"/>
    <xf numFmtId="166" fontId="0" fillId="0" borderId="10" xfId="0" applyNumberFormat="1" applyBorder="1"/>
    <xf numFmtId="2" fontId="3" fillId="4" borderId="19" xfId="0" applyNumberFormat="1" applyFont="1" applyFill="1" applyBorder="1" applyAlignment="1">
      <alignment horizontal="right" vertical="center" wrapText="1"/>
    </xf>
    <xf numFmtId="2" fontId="3" fillId="4" borderId="1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2" fontId="3" fillId="4" borderId="31" xfId="0" applyNumberFormat="1" applyFont="1" applyFill="1" applyBorder="1" applyAlignment="1">
      <alignment horizontal="right" vertical="center" wrapText="1"/>
    </xf>
    <xf numFmtId="2" fontId="3" fillId="4" borderId="32" xfId="0" applyNumberFormat="1" applyFont="1" applyFill="1" applyBorder="1" applyAlignment="1">
      <alignment horizontal="right" vertical="center" wrapText="1"/>
    </xf>
    <xf numFmtId="0" fontId="10" fillId="5" borderId="63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52" xfId="0" applyFont="1" applyFill="1" applyBorder="1" applyAlignment="1">
      <alignment horizontal="center" vertical="center"/>
    </xf>
    <xf numFmtId="0" fontId="19" fillId="8" borderId="61" xfId="0" applyFont="1" applyFill="1" applyBorder="1" applyAlignment="1">
      <alignment horizontal="center" vertical="center"/>
    </xf>
    <xf numFmtId="0" fontId="19" fillId="8" borderId="15" xfId="0" applyFont="1" applyFill="1" applyBorder="1" applyAlignment="1">
      <alignment horizontal="center" vertical="center"/>
    </xf>
    <xf numFmtId="0" fontId="19" fillId="8" borderId="16" xfId="0" applyFont="1" applyFill="1" applyBorder="1" applyAlignment="1">
      <alignment horizontal="center" vertical="center"/>
    </xf>
    <xf numFmtId="2" fontId="3" fillId="7" borderId="41" xfId="0" applyNumberFormat="1" applyFont="1" applyFill="1" applyBorder="1" applyAlignment="1">
      <alignment horizontal="left" vertical="center" wrapText="1"/>
    </xf>
    <xf numFmtId="2" fontId="18" fillId="7" borderId="10" xfId="0" applyNumberFormat="1" applyFont="1" applyFill="1" applyBorder="1" applyAlignment="1">
      <alignment horizontal="left" vertical="center" wrapText="1"/>
    </xf>
    <xf numFmtId="2" fontId="3" fillId="4" borderId="30" xfId="0" applyNumberFormat="1" applyFont="1" applyFill="1" applyBorder="1" applyAlignment="1">
      <alignment horizontal="right" vertical="center" wrapText="1"/>
    </xf>
    <xf numFmtId="0" fontId="10" fillId="5" borderId="21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0" fontId="11" fillId="8" borderId="66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6" xfId="0" applyFont="1" applyFill="1" applyBorder="1" applyAlignment="1">
      <alignment horizontal="center" vertical="center"/>
    </xf>
    <xf numFmtId="0" fontId="11" fillId="8" borderId="67" xfId="0" applyFont="1" applyFill="1" applyBorder="1" applyAlignment="1">
      <alignment horizontal="center" vertical="center"/>
    </xf>
    <xf numFmtId="0" fontId="11" fillId="8" borderId="61" xfId="0" applyFont="1" applyFill="1" applyBorder="1" applyAlignment="1">
      <alignment horizontal="center" vertical="center"/>
    </xf>
    <xf numFmtId="0" fontId="11" fillId="8" borderId="15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2" fontId="3" fillId="4" borderId="17" xfId="0" applyNumberFormat="1" applyFont="1" applyFill="1" applyBorder="1" applyAlignment="1">
      <alignment horizontal="right" vertical="center" wrapText="1"/>
    </xf>
    <xf numFmtId="0" fontId="10" fillId="9" borderId="21" xfId="0" applyFont="1" applyFill="1" applyBorder="1" applyAlignment="1">
      <alignment horizontal="center" vertical="center"/>
    </xf>
    <xf numFmtId="0" fontId="10" fillId="9" borderId="59" xfId="0" applyFont="1" applyFill="1" applyBorder="1" applyAlignment="1">
      <alignment horizontal="center" vertical="center"/>
    </xf>
    <xf numFmtId="0" fontId="10" fillId="9" borderId="60" xfId="0" applyFont="1" applyFill="1" applyBorder="1" applyAlignment="1">
      <alignment horizontal="center" vertical="center"/>
    </xf>
    <xf numFmtId="0" fontId="10" fillId="9" borderId="22" xfId="0" applyFont="1" applyFill="1" applyBorder="1" applyAlignment="1">
      <alignment horizontal="center" vertical="center"/>
    </xf>
    <xf numFmtId="0" fontId="10" fillId="9" borderId="13" xfId="0" applyFont="1" applyFill="1" applyBorder="1" applyAlignment="1">
      <alignment horizontal="center" vertical="center"/>
    </xf>
    <xf numFmtId="0" fontId="11" fillId="8" borderId="63" xfId="0" applyFont="1" applyFill="1" applyBorder="1" applyAlignment="1">
      <alignment horizontal="center" vertical="center"/>
    </xf>
    <xf numFmtId="0" fontId="10" fillId="9" borderId="63" xfId="0" applyFont="1" applyFill="1" applyBorder="1" applyAlignment="1">
      <alignment horizontal="center" vertical="center"/>
    </xf>
    <xf numFmtId="0" fontId="10" fillId="9" borderId="10" xfId="0" applyFont="1" applyFill="1" applyBorder="1" applyAlignment="1">
      <alignment horizontal="center" vertical="center"/>
    </xf>
    <xf numFmtId="0" fontId="10" fillId="9" borderId="52" xfId="0" applyFont="1" applyFill="1" applyBorder="1" applyAlignment="1">
      <alignment horizontal="center" vertical="center"/>
    </xf>
    <xf numFmtId="2" fontId="3" fillId="7" borderId="10" xfId="0" applyNumberFormat="1" applyFont="1" applyFill="1" applyBorder="1" applyAlignment="1">
      <alignment horizontal="left" vertical="center" wrapText="1"/>
    </xf>
    <xf numFmtId="0" fontId="0" fillId="0" borderId="23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4" xfId="0" applyBorder="1" applyAlignment="1">
      <alignment horizontal="right"/>
    </xf>
    <xf numFmtId="0" fontId="20" fillId="9" borderId="71" xfId="0" applyFont="1" applyFill="1" applyBorder="1" applyAlignment="1">
      <alignment horizontal="center"/>
    </xf>
    <xf numFmtId="0" fontId="21" fillId="9" borderId="72" xfId="0" applyFont="1" applyFill="1" applyBorder="1" applyAlignment="1">
      <alignment horizontal="center"/>
    </xf>
    <xf numFmtId="0" fontId="21" fillId="9" borderId="73" xfId="0" applyFont="1" applyFill="1" applyBorder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1B437-0472-4F15-A2CD-BFA88E3909F9}">
  <sheetPr>
    <tabColor rgb="FFFF0000"/>
    <pageSetUpPr fitToPage="1"/>
  </sheetPr>
  <dimension ref="A1:I134"/>
  <sheetViews>
    <sheetView tabSelected="1" topLeftCell="A37" zoomScaleNormal="100" zoomScaleSheetLayoutView="100" workbookViewId="0">
      <selection activeCell="N54" sqref="N54"/>
    </sheetView>
  </sheetViews>
  <sheetFormatPr defaultRowHeight="15" x14ac:dyDescent="0.25"/>
  <cols>
    <col min="1" max="1" width="6.140625" customWidth="1"/>
    <col min="2" max="2" width="6.85546875" style="7" customWidth="1"/>
    <col min="3" max="3" width="34" customWidth="1"/>
    <col min="4" max="4" width="28.5703125" customWidth="1"/>
    <col min="5" max="5" width="6.140625" style="1" customWidth="1"/>
    <col min="6" max="6" width="7.7109375" customWidth="1"/>
    <col min="7" max="7" width="13.140625" customWidth="1"/>
    <col min="8" max="8" width="6.28515625" style="4" customWidth="1"/>
  </cols>
  <sheetData>
    <row r="1" spans="1:9" ht="18" customHeight="1" x14ac:dyDescent="0.25">
      <c r="A1" t="s">
        <v>201</v>
      </c>
      <c r="D1" s="172"/>
      <c r="E1" s="172"/>
      <c r="F1" s="172"/>
      <c r="G1" s="172"/>
    </row>
    <row r="2" spans="1:9" ht="59.25" customHeight="1" thickBot="1" x14ac:dyDescent="0.3">
      <c r="A2" s="173" t="s">
        <v>200</v>
      </c>
      <c r="B2" s="173"/>
      <c r="C2" s="173"/>
      <c r="D2" s="173"/>
      <c r="E2" s="173"/>
      <c r="F2" s="173"/>
      <c r="G2" s="173"/>
    </row>
    <row r="3" spans="1:9" ht="34.5" thickTop="1" x14ac:dyDescent="0.25">
      <c r="A3" s="34" t="s">
        <v>0</v>
      </c>
      <c r="B3" s="35" t="s">
        <v>1</v>
      </c>
      <c r="C3" s="35" t="s">
        <v>2</v>
      </c>
      <c r="D3" s="35" t="s">
        <v>3</v>
      </c>
      <c r="E3" s="36" t="s">
        <v>4</v>
      </c>
      <c r="F3" s="37" t="s">
        <v>37</v>
      </c>
      <c r="G3" s="38" t="s">
        <v>38</v>
      </c>
      <c r="I3" s="6"/>
    </row>
    <row r="4" spans="1:9" ht="9.6" customHeight="1" thickBot="1" x14ac:dyDescent="0.3">
      <c r="A4" s="115">
        <v>1</v>
      </c>
      <c r="B4" s="40">
        <v>2</v>
      </c>
      <c r="C4" s="39">
        <v>3</v>
      </c>
      <c r="D4" s="40">
        <v>4</v>
      </c>
      <c r="E4" s="39">
        <v>5</v>
      </c>
      <c r="F4" s="40">
        <v>6</v>
      </c>
      <c r="G4" s="77">
        <v>7</v>
      </c>
    </row>
    <row r="5" spans="1:9" ht="20.25" customHeight="1" thickBot="1" x14ac:dyDescent="0.3">
      <c r="A5" s="209" t="s">
        <v>199</v>
      </c>
      <c r="B5" s="210"/>
      <c r="C5" s="210"/>
      <c r="D5" s="210"/>
      <c r="E5" s="210"/>
      <c r="F5" s="210"/>
      <c r="G5" s="211"/>
    </row>
    <row r="6" spans="1:9" ht="13.9" customHeight="1" thickTop="1" x14ac:dyDescent="0.25">
      <c r="A6" s="176" t="s">
        <v>40</v>
      </c>
      <c r="B6" s="177"/>
      <c r="C6" s="177"/>
      <c r="D6" s="177"/>
      <c r="E6" s="177"/>
      <c r="F6" s="177"/>
      <c r="G6" s="178"/>
      <c r="H6" s="78"/>
    </row>
    <row r="7" spans="1:9" ht="15" customHeight="1" x14ac:dyDescent="0.25">
      <c r="A7" s="179" t="s">
        <v>6</v>
      </c>
      <c r="B7" s="160"/>
      <c r="C7" s="182" t="s">
        <v>7</v>
      </c>
      <c r="D7" s="182"/>
      <c r="E7" s="161"/>
      <c r="F7" s="161"/>
      <c r="G7" s="162"/>
    </row>
    <row r="8" spans="1:9" ht="25.5" x14ac:dyDescent="0.25">
      <c r="A8" s="180"/>
      <c r="B8" s="88" t="s">
        <v>41</v>
      </c>
      <c r="C8" s="23" t="s">
        <v>144</v>
      </c>
      <c r="D8" s="70" t="s">
        <v>46</v>
      </c>
      <c r="E8" s="72">
        <f>960</f>
        <v>960</v>
      </c>
      <c r="F8" s="13"/>
      <c r="G8" s="9">
        <f>E8*F8</f>
        <v>0</v>
      </c>
      <c r="H8" s="5"/>
    </row>
    <row r="9" spans="1:9" ht="25.5" x14ac:dyDescent="0.25">
      <c r="A9" s="180"/>
      <c r="B9" s="88" t="s">
        <v>42</v>
      </c>
      <c r="C9" s="23" t="s">
        <v>145</v>
      </c>
      <c r="D9" s="70" t="s">
        <v>47</v>
      </c>
      <c r="E9" s="73">
        <f>960</f>
        <v>960</v>
      </c>
      <c r="F9" s="13"/>
      <c r="G9" s="9">
        <f t="shared" ref="G9:G17" si="0">E9*F9</f>
        <v>0</v>
      </c>
      <c r="H9" s="5"/>
    </row>
    <row r="10" spans="1:9" ht="25.5" x14ac:dyDescent="0.25">
      <c r="A10" s="180"/>
      <c r="B10" s="88" t="s">
        <v>43</v>
      </c>
      <c r="C10" s="23" t="s">
        <v>146</v>
      </c>
      <c r="D10" s="70" t="s">
        <v>49</v>
      </c>
      <c r="E10" s="73">
        <f>1260</f>
        <v>1260</v>
      </c>
      <c r="F10" s="13"/>
      <c r="G10" s="9">
        <f t="shared" si="0"/>
        <v>0</v>
      </c>
      <c r="H10" s="5"/>
    </row>
    <row r="11" spans="1:9" ht="25.5" x14ac:dyDescent="0.25">
      <c r="A11" s="180"/>
      <c r="B11" s="88" t="s">
        <v>44</v>
      </c>
      <c r="C11" s="23" t="s">
        <v>147</v>
      </c>
      <c r="D11" s="70" t="s">
        <v>51</v>
      </c>
      <c r="E11" s="73">
        <f>1260</f>
        <v>1260</v>
      </c>
      <c r="F11" s="13"/>
      <c r="G11" s="9">
        <f t="shared" si="0"/>
        <v>0</v>
      </c>
      <c r="H11" s="5"/>
    </row>
    <row r="12" spans="1:9" ht="25.5" x14ac:dyDescent="0.25">
      <c r="A12" s="180"/>
      <c r="B12" s="88" t="s">
        <v>45</v>
      </c>
      <c r="C12" s="23" t="s">
        <v>148</v>
      </c>
      <c r="D12" s="70" t="s">
        <v>53</v>
      </c>
      <c r="E12" s="73">
        <f>1200</f>
        <v>1200</v>
      </c>
      <c r="F12" s="13"/>
      <c r="G12" s="9">
        <f t="shared" si="0"/>
        <v>0</v>
      </c>
      <c r="H12" s="5"/>
    </row>
    <row r="13" spans="1:9" ht="25.5" x14ac:dyDescent="0.25">
      <c r="A13" s="180"/>
      <c r="B13" s="88" t="s">
        <v>5</v>
      </c>
      <c r="C13" s="24" t="s">
        <v>149</v>
      </c>
      <c r="D13" s="70" t="s">
        <v>55</v>
      </c>
      <c r="E13" s="74">
        <f>700</f>
        <v>700</v>
      </c>
      <c r="F13" s="13"/>
      <c r="G13" s="9">
        <f t="shared" si="0"/>
        <v>0</v>
      </c>
      <c r="H13" s="5"/>
    </row>
    <row r="14" spans="1:9" ht="25.5" x14ac:dyDescent="0.25">
      <c r="A14" s="180"/>
      <c r="B14" s="88" t="s">
        <v>39</v>
      </c>
      <c r="C14" s="42" t="s">
        <v>189</v>
      </c>
      <c r="D14" s="25" t="s">
        <v>57</v>
      </c>
      <c r="E14" s="26">
        <f>100</f>
        <v>100</v>
      </c>
      <c r="F14" s="13"/>
      <c r="G14" s="9">
        <f t="shared" si="0"/>
        <v>0</v>
      </c>
      <c r="H14" s="5"/>
    </row>
    <row r="15" spans="1:9" ht="25.5" x14ac:dyDescent="0.25">
      <c r="A15" s="180"/>
      <c r="B15" s="88" t="s">
        <v>48</v>
      </c>
      <c r="C15" s="42" t="s">
        <v>190</v>
      </c>
      <c r="D15" s="25" t="s">
        <v>59</v>
      </c>
      <c r="E15" s="26">
        <v>100</v>
      </c>
      <c r="F15" s="13"/>
      <c r="G15" s="9">
        <f t="shared" si="0"/>
        <v>0</v>
      </c>
      <c r="H15" s="5"/>
    </row>
    <row r="16" spans="1:9" ht="25.5" x14ac:dyDescent="0.25">
      <c r="A16" s="180"/>
      <c r="B16" s="88" t="s">
        <v>50</v>
      </c>
      <c r="C16" s="42" t="s">
        <v>191</v>
      </c>
      <c r="D16" s="25" t="s">
        <v>55</v>
      </c>
      <c r="E16" s="75">
        <v>100</v>
      </c>
      <c r="F16" s="13"/>
      <c r="G16" s="9">
        <f t="shared" si="0"/>
        <v>0</v>
      </c>
      <c r="H16" s="5"/>
    </row>
    <row r="17" spans="1:8" ht="38.25" x14ac:dyDescent="0.25">
      <c r="A17" s="180"/>
      <c r="B17" s="88" t="s">
        <v>52</v>
      </c>
      <c r="C17" s="27" t="s">
        <v>62</v>
      </c>
      <c r="D17" s="28" t="s">
        <v>63</v>
      </c>
      <c r="E17" s="71">
        <f>1088</f>
        <v>1088</v>
      </c>
      <c r="F17" s="13"/>
      <c r="G17" s="9">
        <f t="shared" si="0"/>
        <v>0</v>
      </c>
      <c r="H17" s="5"/>
    </row>
    <row r="18" spans="1:8" ht="17.45" customHeight="1" x14ac:dyDescent="0.25">
      <c r="A18" s="180"/>
      <c r="B18" s="157"/>
      <c r="C18" s="183" t="s">
        <v>64</v>
      </c>
      <c r="D18" s="183"/>
      <c r="E18" s="158"/>
      <c r="F18" s="157"/>
      <c r="G18" s="159"/>
      <c r="H18" s="76"/>
    </row>
    <row r="19" spans="1:8" ht="39" x14ac:dyDescent="0.25">
      <c r="A19" s="180"/>
      <c r="B19" s="89" t="s">
        <v>54</v>
      </c>
      <c r="C19" s="29" t="s">
        <v>10</v>
      </c>
      <c r="D19" s="30" t="s">
        <v>11</v>
      </c>
      <c r="E19" s="63">
        <f>100</f>
        <v>100</v>
      </c>
      <c r="F19" s="13"/>
      <c r="G19" s="9">
        <f>E19*F19</f>
        <v>0</v>
      </c>
      <c r="H19" s="5"/>
    </row>
    <row r="20" spans="1:8" ht="39" x14ac:dyDescent="0.25">
      <c r="A20" s="180"/>
      <c r="B20" s="89" t="s">
        <v>56</v>
      </c>
      <c r="C20" s="29" t="s">
        <v>12</v>
      </c>
      <c r="D20" s="30" t="s">
        <v>13</v>
      </c>
      <c r="E20" s="63">
        <f>130+1088</f>
        <v>1218</v>
      </c>
      <c r="F20" s="13"/>
      <c r="G20" s="9">
        <f t="shared" ref="G20:G26" si="1">E20*F20</f>
        <v>0</v>
      </c>
      <c r="H20" s="5"/>
    </row>
    <row r="21" spans="1:8" ht="38.25" x14ac:dyDescent="0.25">
      <c r="A21" s="180"/>
      <c r="B21" s="89" t="s">
        <v>58</v>
      </c>
      <c r="C21" s="33" t="s">
        <v>70</v>
      </c>
      <c r="D21" s="54" t="s">
        <v>68</v>
      </c>
      <c r="E21" s="63">
        <f>440</f>
        <v>440</v>
      </c>
      <c r="F21" s="13"/>
      <c r="G21" s="9">
        <f t="shared" si="1"/>
        <v>0</v>
      </c>
      <c r="H21" s="5"/>
    </row>
    <row r="22" spans="1:8" ht="38.25" x14ac:dyDescent="0.25">
      <c r="A22" s="180"/>
      <c r="B22" s="89" t="s">
        <v>60</v>
      </c>
      <c r="C22" s="33" t="s">
        <v>71</v>
      </c>
      <c r="D22" s="54" t="s">
        <v>72</v>
      </c>
      <c r="E22" s="63">
        <f>440</f>
        <v>440</v>
      </c>
      <c r="F22" s="13"/>
      <c r="G22" s="9">
        <f t="shared" si="1"/>
        <v>0</v>
      </c>
      <c r="H22" s="5"/>
    </row>
    <row r="23" spans="1:8" ht="38.25" x14ac:dyDescent="0.25">
      <c r="A23" s="180"/>
      <c r="B23" s="89" t="s">
        <v>61</v>
      </c>
      <c r="C23" s="33" t="s">
        <v>73</v>
      </c>
      <c r="D23" s="54" t="s">
        <v>74</v>
      </c>
      <c r="E23" s="63">
        <f>270</f>
        <v>270</v>
      </c>
      <c r="F23" s="13"/>
      <c r="G23" s="9">
        <f t="shared" si="1"/>
        <v>0</v>
      </c>
      <c r="H23" s="5"/>
    </row>
    <row r="24" spans="1:8" ht="38.25" x14ac:dyDescent="0.25">
      <c r="A24" s="180"/>
      <c r="B24" s="89" t="s">
        <v>69</v>
      </c>
      <c r="C24" s="33" t="s">
        <v>75</v>
      </c>
      <c r="D24" s="54" t="s">
        <v>76</v>
      </c>
      <c r="E24" s="63">
        <f>270</f>
        <v>270</v>
      </c>
      <c r="F24" s="13"/>
      <c r="G24" s="9">
        <f t="shared" si="1"/>
        <v>0</v>
      </c>
      <c r="H24" s="5"/>
    </row>
    <row r="25" spans="1:8" ht="41.25" customHeight="1" x14ac:dyDescent="0.25">
      <c r="A25" s="180"/>
      <c r="B25" s="89" t="s">
        <v>77</v>
      </c>
      <c r="C25" s="54" t="s">
        <v>159</v>
      </c>
      <c r="D25" s="54" t="s">
        <v>156</v>
      </c>
      <c r="E25" s="63">
        <f>350</f>
        <v>350</v>
      </c>
      <c r="F25" s="13"/>
      <c r="G25" s="9">
        <f t="shared" si="1"/>
        <v>0</v>
      </c>
      <c r="H25" s="5"/>
    </row>
    <row r="26" spans="1:8" ht="41.25" customHeight="1" x14ac:dyDescent="0.25">
      <c r="A26" s="180"/>
      <c r="B26" s="89" t="s">
        <v>78</v>
      </c>
      <c r="C26" s="54" t="s">
        <v>160</v>
      </c>
      <c r="D26" s="33" t="s">
        <v>161</v>
      </c>
      <c r="E26" s="63">
        <f>1088</f>
        <v>1088</v>
      </c>
      <c r="F26" s="13"/>
      <c r="G26" s="9">
        <f t="shared" si="1"/>
        <v>0</v>
      </c>
      <c r="H26" s="5"/>
    </row>
    <row r="27" spans="1:8" ht="15" customHeight="1" x14ac:dyDescent="0.25">
      <c r="A27" s="181"/>
      <c r="B27" s="91"/>
      <c r="C27" s="184" t="s">
        <v>82</v>
      </c>
      <c r="D27" s="184"/>
      <c r="E27" s="137">
        <f>SUM(E8:E26)</f>
        <v>11904</v>
      </c>
      <c r="F27" s="118"/>
      <c r="G27" s="110">
        <f>SUM(G8:G26)</f>
        <v>0</v>
      </c>
      <c r="H27" s="5"/>
    </row>
    <row r="28" spans="1:8" ht="16.149999999999999" customHeight="1" x14ac:dyDescent="0.25">
      <c r="A28" s="185" t="s">
        <v>83</v>
      </c>
      <c r="B28" s="186"/>
      <c r="C28" s="186"/>
      <c r="D28" s="186"/>
      <c r="E28" s="186"/>
      <c r="F28" s="186"/>
      <c r="G28" s="187"/>
      <c r="H28" s="5"/>
    </row>
    <row r="29" spans="1:8" ht="25.5" customHeight="1" x14ac:dyDescent="0.25">
      <c r="A29" s="192" t="s">
        <v>20</v>
      </c>
      <c r="B29" s="84" t="s">
        <v>41</v>
      </c>
      <c r="C29" s="41" t="s">
        <v>21</v>
      </c>
      <c r="D29" s="8" t="s">
        <v>22</v>
      </c>
      <c r="E29" s="90">
        <f>640</f>
        <v>640</v>
      </c>
      <c r="F29" s="119"/>
      <c r="G29" s="12">
        <f>E29*F29</f>
        <v>0</v>
      </c>
      <c r="H29" s="5"/>
    </row>
    <row r="30" spans="1:8" ht="25.5" customHeight="1" x14ac:dyDescent="0.25">
      <c r="A30" s="193"/>
      <c r="B30" s="84" t="s">
        <v>42</v>
      </c>
      <c r="C30" s="42" t="s">
        <v>84</v>
      </c>
      <c r="D30" s="25" t="s">
        <v>85</v>
      </c>
      <c r="E30" s="26">
        <f>180</f>
        <v>180</v>
      </c>
      <c r="F30" s="13"/>
      <c r="G30" s="12">
        <f t="shared" ref="G30:G53" si="2">E30*F30</f>
        <v>0</v>
      </c>
      <c r="H30" s="5"/>
    </row>
    <row r="31" spans="1:8" ht="25.5" customHeight="1" x14ac:dyDescent="0.25">
      <c r="A31" s="193"/>
      <c r="B31" s="84" t="s">
        <v>43</v>
      </c>
      <c r="C31" s="45" t="s">
        <v>86</v>
      </c>
      <c r="D31" s="46" t="s">
        <v>87</v>
      </c>
      <c r="E31" s="47">
        <f>6300</f>
        <v>6300</v>
      </c>
      <c r="F31" s="13"/>
      <c r="G31" s="12">
        <f t="shared" si="2"/>
        <v>0</v>
      </c>
      <c r="H31" s="5"/>
    </row>
    <row r="32" spans="1:8" ht="25.5" customHeight="1" x14ac:dyDescent="0.25">
      <c r="A32" s="193"/>
      <c r="B32" s="84" t="s">
        <v>44</v>
      </c>
      <c r="C32" s="45" t="s">
        <v>88</v>
      </c>
      <c r="D32" s="46" t="s">
        <v>89</v>
      </c>
      <c r="E32" s="68">
        <f>480</f>
        <v>480</v>
      </c>
      <c r="F32" s="13"/>
      <c r="G32" s="12">
        <f t="shared" si="2"/>
        <v>0</v>
      </c>
      <c r="H32" s="5"/>
    </row>
    <row r="33" spans="1:8" ht="25.5" customHeight="1" x14ac:dyDescent="0.25">
      <c r="A33" s="193"/>
      <c r="B33" s="84" t="s">
        <v>45</v>
      </c>
      <c r="C33" s="45" t="s">
        <v>90</v>
      </c>
      <c r="D33" s="46" t="s">
        <v>91</v>
      </c>
      <c r="E33" s="47">
        <f>250</f>
        <v>250</v>
      </c>
      <c r="F33" s="13"/>
      <c r="G33" s="12">
        <f t="shared" si="2"/>
        <v>0</v>
      </c>
      <c r="H33" s="5"/>
    </row>
    <row r="34" spans="1:8" ht="25.5" customHeight="1" x14ac:dyDescent="0.25">
      <c r="A34" s="193"/>
      <c r="B34" s="84" t="s">
        <v>5</v>
      </c>
      <c r="C34" s="45" t="s">
        <v>92</v>
      </c>
      <c r="D34" s="46" t="s">
        <v>93</v>
      </c>
      <c r="E34" s="47">
        <f>2900</f>
        <v>2900</v>
      </c>
      <c r="F34" s="13"/>
      <c r="G34" s="12">
        <f t="shared" si="2"/>
        <v>0</v>
      </c>
      <c r="H34" s="5"/>
    </row>
    <row r="35" spans="1:8" ht="25.5" customHeight="1" x14ac:dyDescent="0.25">
      <c r="A35" s="193"/>
      <c r="B35" s="84" t="s">
        <v>39</v>
      </c>
      <c r="C35" s="43" t="s">
        <v>23</v>
      </c>
      <c r="D35" s="48" t="s">
        <v>24</v>
      </c>
      <c r="E35" s="66">
        <f>170+40</f>
        <v>210</v>
      </c>
      <c r="F35" s="13"/>
      <c r="G35" s="12">
        <f t="shared" si="2"/>
        <v>0</v>
      </c>
      <c r="H35" s="5"/>
    </row>
    <row r="36" spans="1:8" ht="25.5" customHeight="1" x14ac:dyDescent="0.25">
      <c r="A36" s="193"/>
      <c r="B36" s="84" t="s">
        <v>48</v>
      </c>
      <c r="C36" s="43" t="s">
        <v>94</v>
      </c>
      <c r="D36" s="48" t="s">
        <v>25</v>
      </c>
      <c r="E36" s="66">
        <f>110+100+60+243</f>
        <v>513</v>
      </c>
      <c r="F36" s="13"/>
      <c r="G36" s="12">
        <f t="shared" si="2"/>
        <v>0</v>
      </c>
      <c r="H36" s="5"/>
    </row>
    <row r="37" spans="1:8" ht="44.25" customHeight="1" x14ac:dyDescent="0.25">
      <c r="A37" s="193"/>
      <c r="B37" s="84" t="s">
        <v>50</v>
      </c>
      <c r="C37" s="31" t="s">
        <v>95</v>
      </c>
      <c r="D37" s="32" t="s">
        <v>18</v>
      </c>
      <c r="E37" s="92">
        <f>425</f>
        <v>425</v>
      </c>
      <c r="F37" s="13"/>
      <c r="G37" s="12">
        <f t="shared" si="2"/>
        <v>0</v>
      </c>
      <c r="H37" s="5"/>
    </row>
    <row r="38" spans="1:8" ht="25.5" customHeight="1" x14ac:dyDescent="0.25">
      <c r="A38" s="193"/>
      <c r="B38" s="84" t="s">
        <v>52</v>
      </c>
      <c r="C38" s="50" t="s">
        <v>97</v>
      </c>
      <c r="D38" s="51" t="s">
        <v>16</v>
      </c>
      <c r="E38" s="93">
        <f>280</f>
        <v>280</v>
      </c>
      <c r="F38" s="13"/>
      <c r="G38" s="12">
        <f t="shared" si="2"/>
        <v>0</v>
      </c>
      <c r="H38" s="5"/>
    </row>
    <row r="39" spans="1:8" ht="37.5" customHeight="1" x14ac:dyDescent="0.25">
      <c r="A39" s="193"/>
      <c r="B39" s="84" t="s">
        <v>54</v>
      </c>
      <c r="C39" s="53" t="s">
        <v>98</v>
      </c>
      <c r="D39" s="28" t="s">
        <v>99</v>
      </c>
      <c r="E39" s="92">
        <f>426</f>
        <v>426</v>
      </c>
      <c r="F39" s="13"/>
      <c r="G39" s="12">
        <f t="shared" si="2"/>
        <v>0</v>
      </c>
      <c r="H39" s="5"/>
    </row>
    <row r="40" spans="1:8" ht="25.5" customHeight="1" x14ac:dyDescent="0.25">
      <c r="A40" s="193"/>
      <c r="B40" s="84" t="s">
        <v>56</v>
      </c>
      <c r="C40" s="54" t="s">
        <v>100</v>
      </c>
      <c r="D40" s="54" t="s">
        <v>101</v>
      </c>
      <c r="E40" s="52">
        <f>80+100</f>
        <v>180</v>
      </c>
      <c r="F40" s="13"/>
      <c r="G40" s="12">
        <f t="shared" si="2"/>
        <v>0</v>
      </c>
      <c r="H40" s="5"/>
    </row>
    <row r="41" spans="1:8" ht="40.9" customHeight="1" x14ac:dyDescent="0.25">
      <c r="A41" s="193"/>
      <c r="B41" s="84" t="s">
        <v>58</v>
      </c>
      <c r="C41" s="32" t="s">
        <v>102</v>
      </c>
      <c r="D41" s="28" t="s">
        <v>103</v>
      </c>
      <c r="E41" s="92">
        <f>355</f>
        <v>355</v>
      </c>
      <c r="F41" s="13"/>
      <c r="G41" s="12">
        <f t="shared" si="2"/>
        <v>0</v>
      </c>
      <c r="H41" s="5"/>
    </row>
    <row r="42" spans="1:8" ht="25.5" customHeight="1" x14ac:dyDescent="0.25">
      <c r="A42" s="193"/>
      <c r="B42" s="84" t="s">
        <v>60</v>
      </c>
      <c r="C42" s="55" t="s">
        <v>104</v>
      </c>
      <c r="D42" s="56" t="s">
        <v>105</v>
      </c>
      <c r="E42" s="57">
        <f>16</f>
        <v>16</v>
      </c>
      <c r="F42" s="13"/>
      <c r="G42" s="12">
        <f t="shared" si="2"/>
        <v>0</v>
      </c>
      <c r="H42" s="5"/>
    </row>
    <row r="43" spans="1:8" ht="25.5" customHeight="1" x14ac:dyDescent="0.25">
      <c r="A43" s="193"/>
      <c r="B43" s="84" t="s">
        <v>61</v>
      </c>
      <c r="C43" s="58" t="s">
        <v>106</v>
      </c>
      <c r="D43" s="59" t="s">
        <v>27</v>
      </c>
      <c r="E43" s="94">
        <f>26</f>
        <v>26</v>
      </c>
      <c r="F43" s="13"/>
      <c r="G43" s="12">
        <f t="shared" si="2"/>
        <v>0</v>
      </c>
      <c r="H43" s="5"/>
    </row>
    <row r="44" spans="1:8" ht="25.5" customHeight="1" x14ac:dyDescent="0.25">
      <c r="A44" s="193"/>
      <c r="B44" s="84" t="s">
        <v>69</v>
      </c>
      <c r="C44" s="60" t="s">
        <v>107</v>
      </c>
      <c r="D44" s="33" t="s">
        <v>108</v>
      </c>
      <c r="E44" s="95">
        <f>180</f>
        <v>180</v>
      </c>
      <c r="F44" s="13"/>
      <c r="G44" s="12">
        <f t="shared" si="2"/>
        <v>0</v>
      </c>
      <c r="H44" s="5"/>
    </row>
    <row r="45" spans="1:8" ht="25.5" customHeight="1" x14ac:dyDescent="0.25">
      <c r="A45" s="193"/>
      <c r="B45" s="84" t="s">
        <v>77</v>
      </c>
      <c r="C45" s="60" t="s">
        <v>109</v>
      </c>
      <c r="D45" s="33" t="s">
        <v>110</v>
      </c>
      <c r="E45" s="95">
        <f>180+30</f>
        <v>210</v>
      </c>
      <c r="F45" s="13"/>
      <c r="G45" s="12">
        <f t="shared" si="2"/>
        <v>0</v>
      </c>
      <c r="H45" s="5"/>
    </row>
    <row r="46" spans="1:8" ht="25.5" customHeight="1" x14ac:dyDescent="0.25">
      <c r="A46" s="193"/>
      <c r="B46" s="84" t="s">
        <v>78</v>
      </c>
      <c r="C46" s="60" t="s">
        <v>111</v>
      </c>
      <c r="D46" s="33" t="s">
        <v>112</v>
      </c>
      <c r="E46" s="95">
        <f>180</f>
        <v>180</v>
      </c>
      <c r="F46" s="13"/>
      <c r="G46" s="12">
        <f t="shared" si="2"/>
        <v>0</v>
      </c>
      <c r="H46" s="5"/>
    </row>
    <row r="47" spans="1:8" ht="25.5" customHeight="1" x14ac:dyDescent="0.25">
      <c r="A47" s="193"/>
      <c r="B47" s="84" t="s">
        <v>79</v>
      </c>
      <c r="C47" s="61" t="s">
        <v>113</v>
      </c>
      <c r="D47" s="33" t="s">
        <v>114</v>
      </c>
      <c r="E47" s="68">
        <f>180</f>
        <v>180</v>
      </c>
      <c r="F47" s="13"/>
      <c r="G47" s="12">
        <f t="shared" si="2"/>
        <v>0</v>
      </c>
      <c r="H47" s="5"/>
    </row>
    <row r="48" spans="1:8" ht="25.5" customHeight="1" x14ac:dyDescent="0.25">
      <c r="A48" s="193"/>
      <c r="B48" s="84" t="s">
        <v>80</v>
      </c>
      <c r="C48" s="61" t="s">
        <v>115</v>
      </c>
      <c r="D48" s="33" t="s">
        <v>116</v>
      </c>
      <c r="E48" s="68">
        <f>240</f>
        <v>240</v>
      </c>
      <c r="F48" s="13"/>
      <c r="G48" s="12">
        <f t="shared" si="2"/>
        <v>0</v>
      </c>
      <c r="H48" s="5"/>
    </row>
    <row r="49" spans="1:8" ht="25.5" customHeight="1" x14ac:dyDescent="0.25">
      <c r="A49" s="193"/>
      <c r="B49" s="84" t="s">
        <v>81</v>
      </c>
      <c r="C49" s="62" t="s">
        <v>117</v>
      </c>
      <c r="D49" s="62" t="s">
        <v>118</v>
      </c>
      <c r="E49" s="96">
        <f>100</f>
        <v>100</v>
      </c>
      <c r="F49" s="13"/>
      <c r="G49" s="12">
        <f t="shared" si="2"/>
        <v>0</v>
      </c>
      <c r="H49" s="5"/>
    </row>
    <row r="50" spans="1:8" ht="25.5" customHeight="1" x14ac:dyDescent="0.25">
      <c r="A50" s="193"/>
      <c r="B50" s="84" t="s">
        <v>96</v>
      </c>
      <c r="C50" s="62" t="s">
        <v>119</v>
      </c>
      <c r="D50" s="62" t="s">
        <v>120</v>
      </c>
      <c r="E50" s="94">
        <v>250</v>
      </c>
      <c r="F50" s="13"/>
      <c r="G50" s="12">
        <f t="shared" si="2"/>
        <v>0</v>
      </c>
      <c r="H50" s="5"/>
    </row>
    <row r="51" spans="1:8" ht="25.5" customHeight="1" x14ac:dyDescent="0.25">
      <c r="A51" s="193"/>
      <c r="B51" s="84" t="s">
        <v>65</v>
      </c>
      <c r="C51" s="62" t="s">
        <v>121</v>
      </c>
      <c r="D51" s="59" t="s">
        <v>99</v>
      </c>
      <c r="E51" s="94">
        <f>300</f>
        <v>300</v>
      </c>
      <c r="F51" s="13"/>
      <c r="G51" s="12">
        <f t="shared" si="2"/>
        <v>0</v>
      </c>
      <c r="H51" s="5"/>
    </row>
    <row r="52" spans="1:8" ht="25.5" customHeight="1" x14ac:dyDescent="0.25">
      <c r="A52" s="193"/>
      <c r="B52" s="84" t="s">
        <v>66</v>
      </c>
      <c r="C52" s="58" t="s">
        <v>122</v>
      </c>
      <c r="D52" s="59" t="s">
        <v>27</v>
      </c>
      <c r="E52" s="94">
        <f>300</f>
        <v>300</v>
      </c>
      <c r="F52" s="13"/>
      <c r="G52" s="12">
        <f t="shared" si="2"/>
        <v>0</v>
      </c>
      <c r="H52" s="5"/>
    </row>
    <row r="53" spans="1:8" ht="25.5" customHeight="1" x14ac:dyDescent="0.25">
      <c r="A53" s="193"/>
      <c r="B53" s="84" t="s">
        <v>67</v>
      </c>
      <c r="C53" s="53" t="s">
        <v>123</v>
      </c>
      <c r="D53" s="32" t="s">
        <v>124</v>
      </c>
      <c r="E53" s="92">
        <f>182</f>
        <v>182</v>
      </c>
      <c r="F53" s="121"/>
      <c r="G53" s="120">
        <f t="shared" si="2"/>
        <v>0</v>
      </c>
      <c r="H53" s="5"/>
    </row>
    <row r="54" spans="1:8" ht="13.15" customHeight="1" x14ac:dyDescent="0.25">
      <c r="A54" s="194"/>
      <c r="B54" s="85"/>
      <c r="C54" s="174" t="s">
        <v>28</v>
      </c>
      <c r="D54" s="175"/>
      <c r="E54" s="22">
        <f>SUM(E29:E53)</f>
        <v>15303</v>
      </c>
      <c r="F54" s="14"/>
      <c r="G54" s="15">
        <f>SUM(G29:G53)</f>
        <v>0</v>
      </c>
      <c r="H54" s="5"/>
    </row>
    <row r="55" spans="1:8" ht="13.9" customHeight="1" x14ac:dyDescent="0.25">
      <c r="A55" s="185" t="s">
        <v>125</v>
      </c>
      <c r="B55" s="186"/>
      <c r="C55" s="186"/>
      <c r="D55" s="186"/>
      <c r="E55" s="186"/>
      <c r="F55" s="186"/>
      <c r="G55" s="187"/>
      <c r="H55" s="5"/>
    </row>
    <row r="56" spans="1:8" ht="33" customHeight="1" x14ac:dyDescent="0.25">
      <c r="A56" s="188" t="s">
        <v>29</v>
      </c>
      <c r="B56" s="86" t="s">
        <v>41</v>
      </c>
      <c r="C56" s="8" t="s">
        <v>30</v>
      </c>
      <c r="D56" s="8" t="s">
        <v>31</v>
      </c>
      <c r="E56" s="90">
        <f>260</f>
        <v>260</v>
      </c>
      <c r="F56" s="119"/>
      <c r="G56" s="12">
        <f>E56*F56</f>
        <v>0</v>
      </c>
      <c r="H56" s="5"/>
    </row>
    <row r="57" spans="1:8" ht="40.15" customHeight="1" x14ac:dyDescent="0.25">
      <c r="A57" s="189"/>
      <c r="B57" s="86" t="s">
        <v>42</v>
      </c>
      <c r="C57" s="2" t="s">
        <v>32</v>
      </c>
      <c r="D57" s="2" t="s">
        <v>126</v>
      </c>
      <c r="E57" s="65">
        <f>180</f>
        <v>180</v>
      </c>
      <c r="F57" s="11"/>
      <c r="G57" s="12">
        <f t="shared" ref="G57:G64" si="3">E57*F57</f>
        <v>0</v>
      </c>
      <c r="H57" s="5"/>
    </row>
    <row r="58" spans="1:8" ht="33" customHeight="1" x14ac:dyDescent="0.25">
      <c r="A58" s="190"/>
      <c r="B58" s="86" t="s">
        <v>43</v>
      </c>
      <c r="C58" s="58" t="s">
        <v>127</v>
      </c>
      <c r="D58" s="25" t="s">
        <v>188</v>
      </c>
      <c r="E58" s="26">
        <f>70+35</f>
        <v>105</v>
      </c>
      <c r="F58" s="11"/>
      <c r="G58" s="12">
        <f t="shared" si="3"/>
        <v>0</v>
      </c>
      <c r="H58" s="5"/>
    </row>
    <row r="59" spans="1:8" ht="33" customHeight="1" x14ac:dyDescent="0.25">
      <c r="A59" s="190"/>
      <c r="B59" s="86" t="s">
        <v>44</v>
      </c>
      <c r="C59" s="58" t="s">
        <v>128</v>
      </c>
      <c r="D59" s="25" t="s">
        <v>129</v>
      </c>
      <c r="E59" s="26">
        <f>35</f>
        <v>35</v>
      </c>
      <c r="F59" s="11"/>
      <c r="G59" s="12">
        <f t="shared" si="3"/>
        <v>0</v>
      </c>
      <c r="H59" s="5"/>
    </row>
    <row r="60" spans="1:8" ht="33" customHeight="1" x14ac:dyDescent="0.25">
      <c r="A60" s="190"/>
      <c r="B60" s="86" t="s">
        <v>45</v>
      </c>
      <c r="C60" s="42" t="s">
        <v>133</v>
      </c>
      <c r="D60" s="31" t="s">
        <v>132</v>
      </c>
      <c r="E60" s="68">
        <f>170+30</f>
        <v>200</v>
      </c>
      <c r="F60" s="13"/>
      <c r="G60" s="12">
        <f t="shared" si="3"/>
        <v>0</v>
      </c>
      <c r="H60" s="5"/>
    </row>
    <row r="61" spans="1:8" ht="33" customHeight="1" x14ac:dyDescent="0.25">
      <c r="A61" s="190"/>
      <c r="B61" s="86" t="s">
        <v>5</v>
      </c>
      <c r="C61" s="42" t="s">
        <v>135</v>
      </c>
      <c r="D61" s="28" t="s">
        <v>134</v>
      </c>
      <c r="E61" s="68">
        <f>160+30</f>
        <v>190</v>
      </c>
      <c r="F61" s="13"/>
      <c r="G61" s="12">
        <f t="shared" si="3"/>
        <v>0</v>
      </c>
      <c r="H61" s="5"/>
    </row>
    <row r="62" spans="1:8" ht="33" customHeight="1" x14ac:dyDescent="0.25">
      <c r="A62" s="190"/>
      <c r="B62" s="86" t="s">
        <v>39</v>
      </c>
      <c r="C62" s="31" t="s">
        <v>136</v>
      </c>
      <c r="D62" s="31" t="s">
        <v>137</v>
      </c>
      <c r="E62" s="68">
        <f>600</f>
        <v>600</v>
      </c>
      <c r="F62" s="13"/>
      <c r="G62" s="12">
        <f t="shared" si="3"/>
        <v>0</v>
      </c>
      <c r="H62" s="5"/>
    </row>
    <row r="63" spans="1:8" ht="33" customHeight="1" x14ac:dyDescent="0.25">
      <c r="A63" s="190"/>
      <c r="B63" s="86" t="s">
        <v>48</v>
      </c>
      <c r="C63" s="42" t="s">
        <v>138</v>
      </c>
      <c r="D63" s="25" t="s">
        <v>139</v>
      </c>
      <c r="E63" s="26">
        <f>30</f>
        <v>30</v>
      </c>
      <c r="F63" s="13"/>
      <c r="G63" s="12">
        <f t="shared" si="3"/>
        <v>0</v>
      </c>
      <c r="H63" s="5"/>
    </row>
    <row r="64" spans="1:8" ht="33" customHeight="1" x14ac:dyDescent="0.25">
      <c r="A64" s="190"/>
      <c r="B64" s="86" t="s">
        <v>50</v>
      </c>
      <c r="C64" s="31" t="s">
        <v>140</v>
      </c>
      <c r="D64" s="31" t="s">
        <v>141</v>
      </c>
      <c r="E64" s="69">
        <f>400</f>
        <v>400</v>
      </c>
      <c r="F64" s="121"/>
      <c r="G64" s="12">
        <f t="shared" si="3"/>
        <v>0</v>
      </c>
      <c r="H64" s="5"/>
    </row>
    <row r="65" spans="1:9" ht="15" customHeight="1" thickBot="1" x14ac:dyDescent="0.3">
      <c r="A65" s="191"/>
      <c r="B65" s="87"/>
      <c r="C65" s="171" t="s">
        <v>33</v>
      </c>
      <c r="D65" s="171"/>
      <c r="E65" s="20">
        <f>SUM(E56:E64)</f>
        <v>2000</v>
      </c>
      <c r="F65" s="64" t="s">
        <v>142</v>
      </c>
      <c r="G65" s="79">
        <f>SUM(G56:G64)</f>
        <v>0</v>
      </c>
    </row>
    <row r="66" spans="1:9" s="4" customFormat="1" ht="19.149999999999999" customHeight="1" thickTop="1" thickBot="1" x14ac:dyDescent="0.3">
      <c r="A66" s="3"/>
      <c r="B66" s="17"/>
      <c r="C66" s="170" t="s">
        <v>34</v>
      </c>
      <c r="D66" s="170"/>
      <c r="E66" s="18">
        <f>E65+E54+E27</f>
        <v>29207</v>
      </c>
      <c r="F66" s="21" t="s">
        <v>35</v>
      </c>
      <c r="G66" s="79">
        <f>SUM(G27,G54,G65)</f>
        <v>0</v>
      </c>
      <c r="I66"/>
    </row>
    <row r="67" spans="1:9" s="4" customFormat="1" ht="17.45" customHeight="1" thickTop="1" x14ac:dyDescent="0.25">
      <c r="A67"/>
      <c r="B67" s="7"/>
      <c r="C67"/>
      <c r="D67"/>
      <c r="E67" s="83"/>
      <c r="F67" s="81" t="s">
        <v>143</v>
      </c>
      <c r="G67" s="80">
        <f>G66*0.08</f>
        <v>0</v>
      </c>
      <c r="I67"/>
    </row>
    <row r="68" spans="1:9" s="4" customFormat="1" ht="18" customHeight="1" thickBot="1" x14ac:dyDescent="0.3">
      <c r="A68"/>
      <c r="B68" s="7"/>
      <c r="C68"/>
      <c r="D68"/>
      <c r="E68" s="83"/>
      <c r="F68" s="82" t="s">
        <v>36</v>
      </c>
      <c r="G68" s="116">
        <f>G66*1.08</f>
        <v>0</v>
      </c>
      <c r="I68"/>
    </row>
    <row r="69" spans="1:9" s="4" customFormat="1" ht="18" customHeight="1" thickTop="1" thickBot="1" x14ac:dyDescent="0.3">
      <c r="A69" s="209" t="s">
        <v>198</v>
      </c>
      <c r="B69" s="210"/>
      <c r="C69" s="210"/>
      <c r="D69" s="210"/>
      <c r="E69" s="210"/>
      <c r="F69" s="210"/>
      <c r="G69" s="211"/>
      <c r="I69"/>
    </row>
    <row r="70" spans="1:9" s="4" customFormat="1" ht="16.5" thickTop="1" x14ac:dyDescent="0.25">
      <c r="A70" s="202" t="s">
        <v>40</v>
      </c>
      <c r="B70" s="203"/>
      <c r="C70" s="203"/>
      <c r="D70" s="203"/>
      <c r="E70" s="203"/>
      <c r="F70" s="203"/>
      <c r="G70" s="204"/>
      <c r="I70"/>
    </row>
    <row r="71" spans="1:9" x14ac:dyDescent="0.25">
      <c r="A71" s="201" t="s">
        <v>6</v>
      </c>
      <c r="B71" s="163"/>
      <c r="C71" s="205" t="s">
        <v>7</v>
      </c>
      <c r="D71" s="205"/>
      <c r="E71" s="164"/>
      <c r="F71" s="164"/>
      <c r="G71" s="162"/>
    </row>
    <row r="72" spans="1:9" ht="25.5" x14ac:dyDescent="0.25">
      <c r="A72" s="201"/>
      <c r="B72" s="102" t="s">
        <v>41</v>
      </c>
      <c r="C72" s="138" t="s">
        <v>144</v>
      </c>
      <c r="D72" s="139" t="s">
        <v>46</v>
      </c>
      <c r="E72" s="136">
        <f>1088</f>
        <v>1088</v>
      </c>
      <c r="F72" s="13"/>
      <c r="G72" s="9">
        <f>E72*F72</f>
        <v>0</v>
      </c>
    </row>
    <row r="73" spans="1:9" ht="25.5" x14ac:dyDescent="0.25">
      <c r="A73" s="201"/>
      <c r="B73" s="102" t="s">
        <v>42</v>
      </c>
      <c r="C73" s="141" t="s">
        <v>150</v>
      </c>
      <c r="D73" s="43" t="s">
        <v>151</v>
      </c>
      <c r="E73" s="135">
        <v>77</v>
      </c>
      <c r="F73" s="13"/>
      <c r="G73" s="9">
        <f t="shared" ref="G73:G76" si="4">E73*F73</f>
        <v>0</v>
      </c>
    </row>
    <row r="74" spans="1:9" ht="25.5" x14ac:dyDescent="0.25">
      <c r="A74" s="201"/>
      <c r="B74" s="102" t="s">
        <v>43</v>
      </c>
      <c r="C74" s="141" t="s">
        <v>152</v>
      </c>
      <c r="D74" s="43" t="s">
        <v>59</v>
      </c>
      <c r="E74" s="135">
        <v>77</v>
      </c>
      <c r="F74" s="13"/>
      <c r="G74" s="9">
        <f t="shared" si="4"/>
        <v>0</v>
      </c>
    </row>
    <row r="75" spans="1:9" ht="25.5" x14ac:dyDescent="0.25">
      <c r="A75" s="201"/>
      <c r="B75" s="102" t="s">
        <v>44</v>
      </c>
      <c r="C75" s="43" t="s">
        <v>153</v>
      </c>
      <c r="D75" s="43" t="s">
        <v>154</v>
      </c>
      <c r="E75" s="135">
        <v>77</v>
      </c>
      <c r="F75" s="13"/>
      <c r="G75" s="9">
        <f t="shared" si="4"/>
        <v>0</v>
      </c>
    </row>
    <row r="76" spans="1:9" ht="25.5" x14ac:dyDescent="0.25">
      <c r="A76" s="201"/>
      <c r="B76" s="104" t="s">
        <v>45</v>
      </c>
      <c r="C76" s="142" t="s">
        <v>155</v>
      </c>
      <c r="D76" s="142" t="s">
        <v>156</v>
      </c>
      <c r="E76" s="134">
        <v>77</v>
      </c>
      <c r="F76" s="121"/>
      <c r="G76" s="16">
        <f t="shared" si="4"/>
        <v>0</v>
      </c>
    </row>
    <row r="77" spans="1:9" x14ac:dyDescent="0.25">
      <c r="A77" s="201"/>
      <c r="B77" s="165"/>
      <c r="C77" s="205" t="s">
        <v>64</v>
      </c>
      <c r="D77" s="205"/>
      <c r="E77" s="164"/>
      <c r="F77" s="166"/>
      <c r="G77" s="159"/>
    </row>
    <row r="78" spans="1:9" ht="26.25" x14ac:dyDescent="0.25">
      <c r="A78" s="201"/>
      <c r="B78" s="103" t="s">
        <v>5</v>
      </c>
      <c r="C78" s="145" t="s">
        <v>8</v>
      </c>
      <c r="D78" s="146" t="s">
        <v>9</v>
      </c>
      <c r="E78" s="129">
        <f>336</f>
        <v>336</v>
      </c>
      <c r="F78" s="122"/>
      <c r="G78" s="12">
        <f>E78*F78</f>
        <v>0</v>
      </c>
    </row>
    <row r="79" spans="1:9" ht="39" x14ac:dyDescent="0.25">
      <c r="A79" s="201"/>
      <c r="B79" s="102" t="s">
        <v>39</v>
      </c>
      <c r="C79" s="98" t="s">
        <v>10</v>
      </c>
      <c r="D79" s="49" t="s">
        <v>11</v>
      </c>
      <c r="E79" s="66">
        <f>1088</f>
        <v>1088</v>
      </c>
      <c r="F79" s="99"/>
      <c r="G79" s="9">
        <f t="shared" ref="G79:G87" si="5">E79*F79</f>
        <v>0</v>
      </c>
    </row>
    <row r="80" spans="1:9" ht="39" x14ac:dyDescent="0.25">
      <c r="A80" s="201"/>
      <c r="B80" s="102" t="s">
        <v>48</v>
      </c>
      <c r="C80" s="98" t="s">
        <v>12</v>
      </c>
      <c r="D80" s="49" t="s">
        <v>13</v>
      </c>
      <c r="E80" s="66">
        <f>336+115</f>
        <v>451</v>
      </c>
      <c r="F80" s="99"/>
      <c r="G80" s="9">
        <f t="shared" si="5"/>
        <v>0</v>
      </c>
    </row>
    <row r="81" spans="1:7" ht="26.25" x14ac:dyDescent="0.25">
      <c r="A81" s="201"/>
      <c r="B81" s="102" t="s">
        <v>50</v>
      </c>
      <c r="C81" s="98" t="s">
        <v>14</v>
      </c>
      <c r="D81" s="49" t="s">
        <v>15</v>
      </c>
      <c r="E81" s="66">
        <f>1088</f>
        <v>1088</v>
      </c>
      <c r="F81" s="99"/>
      <c r="G81" s="9">
        <f t="shared" si="5"/>
        <v>0</v>
      </c>
    </row>
    <row r="82" spans="1:7" ht="38.25" x14ac:dyDescent="0.25">
      <c r="A82" s="201"/>
      <c r="B82" s="102" t="s">
        <v>52</v>
      </c>
      <c r="C82" s="44" t="s">
        <v>70</v>
      </c>
      <c r="D82" s="43" t="s">
        <v>68</v>
      </c>
      <c r="E82" s="66">
        <f>840+440</f>
        <v>1280</v>
      </c>
      <c r="F82" s="99"/>
      <c r="G82" s="9">
        <f t="shared" si="5"/>
        <v>0</v>
      </c>
    </row>
    <row r="83" spans="1:7" ht="38.25" x14ac:dyDescent="0.25">
      <c r="A83" s="201"/>
      <c r="B83" s="102" t="s">
        <v>54</v>
      </c>
      <c r="C83" s="44" t="s">
        <v>71</v>
      </c>
      <c r="D83" s="41" t="s">
        <v>72</v>
      </c>
      <c r="E83" s="65">
        <f>840+115+440</f>
        <v>1395</v>
      </c>
      <c r="F83" s="99"/>
      <c r="G83" s="9">
        <f t="shared" si="5"/>
        <v>0</v>
      </c>
    </row>
    <row r="84" spans="1:7" ht="38.25" x14ac:dyDescent="0.25">
      <c r="A84" s="201"/>
      <c r="B84" s="102" t="s">
        <v>56</v>
      </c>
      <c r="C84" s="148" t="s">
        <v>73</v>
      </c>
      <c r="D84" s="41" t="s">
        <v>74</v>
      </c>
      <c r="E84" s="66">
        <f>265</f>
        <v>265</v>
      </c>
      <c r="F84" s="99"/>
      <c r="G84" s="9">
        <f t="shared" si="5"/>
        <v>0</v>
      </c>
    </row>
    <row r="85" spans="1:7" ht="38.25" x14ac:dyDescent="0.25">
      <c r="A85" s="201"/>
      <c r="B85" s="102" t="s">
        <v>58</v>
      </c>
      <c r="C85" s="44" t="s">
        <v>75</v>
      </c>
      <c r="D85" s="142" t="s">
        <v>76</v>
      </c>
      <c r="E85" s="66">
        <f>265</f>
        <v>265</v>
      </c>
      <c r="F85" s="99"/>
      <c r="G85" s="9">
        <f t="shared" si="5"/>
        <v>0</v>
      </c>
    </row>
    <row r="86" spans="1:7" ht="25.5" x14ac:dyDescent="0.25">
      <c r="A86" s="201"/>
      <c r="B86" s="102" t="s">
        <v>60</v>
      </c>
      <c r="C86" s="43" t="s">
        <v>157</v>
      </c>
      <c r="D86" s="43" t="s">
        <v>158</v>
      </c>
      <c r="E86" s="66">
        <v>696</v>
      </c>
      <c r="F86" s="99"/>
      <c r="G86" s="9">
        <f t="shared" si="5"/>
        <v>0</v>
      </c>
    </row>
    <row r="87" spans="1:7" ht="25.5" x14ac:dyDescent="0.25">
      <c r="A87" s="201"/>
      <c r="B87" s="104" t="s">
        <v>61</v>
      </c>
      <c r="C87" s="142" t="s">
        <v>159</v>
      </c>
      <c r="D87" s="142" t="s">
        <v>156</v>
      </c>
      <c r="E87" s="125">
        <f>350</f>
        <v>350</v>
      </c>
      <c r="F87" s="123"/>
      <c r="G87" s="16">
        <f t="shared" si="5"/>
        <v>0</v>
      </c>
    </row>
    <row r="88" spans="1:7" x14ac:dyDescent="0.25">
      <c r="A88" s="201"/>
      <c r="B88" s="165"/>
      <c r="C88" s="205" t="s">
        <v>17</v>
      </c>
      <c r="D88" s="205"/>
      <c r="E88" s="164"/>
      <c r="F88" s="166"/>
      <c r="G88" s="167"/>
    </row>
    <row r="89" spans="1:7" ht="25.5" x14ac:dyDescent="0.25">
      <c r="A89" s="201"/>
      <c r="B89" s="102" t="s">
        <v>69</v>
      </c>
      <c r="C89" s="101" t="s">
        <v>162</v>
      </c>
      <c r="D89" s="144" t="s">
        <v>163</v>
      </c>
      <c r="E89" s="97">
        <v>1130</v>
      </c>
      <c r="F89" s="13"/>
      <c r="G89" s="9">
        <f>E89*F89</f>
        <v>0</v>
      </c>
    </row>
    <row r="90" spans="1:7" ht="25.5" x14ac:dyDescent="0.25">
      <c r="A90" s="201"/>
      <c r="B90" s="102" t="s">
        <v>77</v>
      </c>
      <c r="C90" s="141" t="s">
        <v>164</v>
      </c>
      <c r="D90" s="149" t="s">
        <v>165</v>
      </c>
      <c r="E90" s="135">
        <v>1130</v>
      </c>
      <c r="F90" s="13"/>
      <c r="G90" s="9">
        <f t="shared" ref="G90:G91" si="6">E90*F90</f>
        <v>0</v>
      </c>
    </row>
    <row r="91" spans="1:7" ht="25.5" x14ac:dyDescent="0.25">
      <c r="A91" s="201"/>
      <c r="B91" s="102" t="s">
        <v>78</v>
      </c>
      <c r="C91" s="140" t="s">
        <v>166</v>
      </c>
      <c r="D91" s="140" t="s">
        <v>167</v>
      </c>
      <c r="E91" s="134">
        <v>1140</v>
      </c>
      <c r="F91" s="13"/>
      <c r="G91" s="9">
        <f t="shared" si="6"/>
        <v>0</v>
      </c>
    </row>
    <row r="92" spans="1:7" x14ac:dyDescent="0.25">
      <c r="A92" s="201"/>
      <c r="B92" s="105"/>
      <c r="C92" s="171" t="s">
        <v>82</v>
      </c>
      <c r="D92" s="171"/>
      <c r="E92" s="20">
        <f>SUM(E72:E91)</f>
        <v>12010</v>
      </c>
      <c r="F92" s="100"/>
      <c r="G92" s="110">
        <f>SUM(G72:G76,G78:G87,G89:G91)</f>
        <v>0</v>
      </c>
    </row>
    <row r="93" spans="1:7" ht="15.75" x14ac:dyDescent="0.25">
      <c r="A93" s="196" t="s">
        <v>83</v>
      </c>
      <c r="B93" s="197"/>
      <c r="C93" s="197"/>
      <c r="D93" s="197"/>
      <c r="E93" s="197"/>
      <c r="F93" s="197"/>
      <c r="G93" s="198"/>
    </row>
    <row r="94" spans="1:7" ht="25.5" x14ac:dyDescent="0.25">
      <c r="A94" s="201" t="s">
        <v>20</v>
      </c>
      <c r="B94" s="106" t="s">
        <v>41</v>
      </c>
      <c r="C94" s="101" t="s">
        <v>84</v>
      </c>
      <c r="D94" s="101" t="s">
        <v>85</v>
      </c>
      <c r="E94" s="127">
        <f>150</f>
        <v>150</v>
      </c>
      <c r="F94" s="13"/>
      <c r="G94" s="9">
        <f>E94*F94</f>
        <v>0</v>
      </c>
    </row>
    <row r="95" spans="1:7" ht="25.5" x14ac:dyDescent="0.25">
      <c r="A95" s="201"/>
      <c r="B95" s="106" t="s">
        <v>42</v>
      </c>
      <c r="C95" s="43" t="s">
        <v>168</v>
      </c>
      <c r="D95" s="43" t="s">
        <v>163</v>
      </c>
      <c r="E95" s="126">
        <f>1700</f>
        <v>1700</v>
      </c>
      <c r="F95" s="13"/>
      <c r="G95" s="9">
        <f t="shared" ref="G95:G118" si="7">E95*F95</f>
        <v>0</v>
      </c>
    </row>
    <row r="96" spans="1:7" ht="38.25" x14ac:dyDescent="0.25">
      <c r="A96" s="201"/>
      <c r="B96" s="106" t="s">
        <v>43</v>
      </c>
      <c r="C96" s="43" t="s">
        <v>23</v>
      </c>
      <c r="D96" s="48" t="s">
        <v>24</v>
      </c>
      <c r="E96" s="66">
        <f>520+110</f>
        <v>630</v>
      </c>
      <c r="F96" s="13"/>
      <c r="G96" s="9">
        <f t="shared" si="7"/>
        <v>0</v>
      </c>
    </row>
    <row r="97" spans="1:7" ht="25.5" x14ac:dyDescent="0.25">
      <c r="A97" s="201"/>
      <c r="B97" s="106" t="s">
        <v>44</v>
      </c>
      <c r="C97" s="140" t="s">
        <v>94</v>
      </c>
      <c r="D97" s="48" t="s">
        <v>25</v>
      </c>
      <c r="E97" s="66">
        <f>100+280</f>
        <v>380</v>
      </c>
      <c r="F97" s="13"/>
      <c r="G97" s="9">
        <f t="shared" si="7"/>
        <v>0</v>
      </c>
    </row>
    <row r="98" spans="1:7" ht="38.25" x14ac:dyDescent="0.25">
      <c r="A98" s="201"/>
      <c r="B98" s="106" t="s">
        <v>45</v>
      </c>
      <c r="C98" s="147" t="s">
        <v>95</v>
      </c>
      <c r="D98" s="43" t="s">
        <v>18</v>
      </c>
      <c r="E98" s="127">
        <f>60</f>
        <v>60</v>
      </c>
      <c r="F98" s="13"/>
      <c r="G98" s="9">
        <f t="shared" si="7"/>
        <v>0</v>
      </c>
    </row>
    <row r="99" spans="1:7" ht="25.5" x14ac:dyDescent="0.25">
      <c r="A99" s="201"/>
      <c r="B99" s="106" t="s">
        <v>5</v>
      </c>
      <c r="C99" s="43" t="s">
        <v>169</v>
      </c>
      <c r="D99" s="48" t="s">
        <v>170</v>
      </c>
      <c r="E99" s="66">
        <f>20+20</f>
        <v>40</v>
      </c>
      <c r="F99" s="13"/>
      <c r="G99" s="9">
        <f t="shared" si="7"/>
        <v>0</v>
      </c>
    </row>
    <row r="100" spans="1:7" ht="26.25" x14ac:dyDescent="0.25">
      <c r="A100" s="201"/>
      <c r="B100" s="106" t="s">
        <v>39</v>
      </c>
      <c r="C100" s="156" t="s">
        <v>171</v>
      </c>
      <c r="D100" s="154" t="s">
        <v>172</v>
      </c>
      <c r="E100" s="132">
        <v>485</v>
      </c>
      <c r="F100" s="13"/>
      <c r="G100" s="9">
        <f t="shared" si="7"/>
        <v>0</v>
      </c>
    </row>
    <row r="101" spans="1:7" ht="25.5" x14ac:dyDescent="0.25">
      <c r="A101" s="201"/>
      <c r="B101" s="106" t="s">
        <v>48</v>
      </c>
      <c r="C101" s="43" t="s">
        <v>100</v>
      </c>
      <c r="D101" s="43" t="s">
        <v>101</v>
      </c>
      <c r="E101" s="130">
        <f>398+54+100</f>
        <v>552</v>
      </c>
      <c r="F101" s="13"/>
      <c r="G101" s="9">
        <f t="shared" si="7"/>
        <v>0</v>
      </c>
    </row>
    <row r="102" spans="1:7" ht="38.25" x14ac:dyDescent="0.25">
      <c r="A102" s="201"/>
      <c r="B102" s="106" t="s">
        <v>50</v>
      </c>
      <c r="C102" s="43" t="s">
        <v>102</v>
      </c>
      <c r="D102" s="149" t="s">
        <v>103</v>
      </c>
      <c r="E102" s="126">
        <f>48</f>
        <v>48</v>
      </c>
      <c r="F102" s="13"/>
      <c r="G102" s="9">
        <f t="shared" si="7"/>
        <v>0</v>
      </c>
    </row>
    <row r="103" spans="1:7" ht="25.5" x14ac:dyDescent="0.25">
      <c r="A103" s="201"/>
      <c r="B103" s="106" t="s">
        <v>52</v>
      </c>
      <c r="C103" s="44" t="s">
        <v>106</v>
      </c>
      <c r="D103" s="149" t="s">
        <v>27</v>
      </c>
      <c r="E103" s="131">
        <f>26</f>
        <v>26</v>
      </c>
      <c r="F103" s="13"/>
      <c r="G103" s="9">
        <f t="shared" si="7"/>
        <v>0</v>
      </c>
    </row>
    <row r="104" spans="1:7" ht="25.5" x14ac:dyDescent="0.25">
      <c r="A104" s="201"/>
      <c r="B104" s="106" t="s">
        <v>54</v>
      </c>
      <c r="C104" s="150" t="s">
        <v>173</v>
      </c>
      <c r="D104" s="149" t="s">
        <v>174</v>
      </c>
      <c r="E104" s="131">
        <v>8</v>
      </c>
      <c r="F104" s="13"/>
      <c r="G104" s="9">
        <f t="shared" si="7"/>
        <v>0</v>
      </c>
    </row>
    <row r="105" spans="1:7" ht="25.5" x14ac:dyDescent="0.25">
      <c r="A105" s="201"/>
      <c r="B105" s="106" t="s">
        <v>56</v>
      </c>
      <c r="C105" s="151" t="s">
        <v>107</v>
      </c>
      <c r="D105" s="44" t="s">
        <v>108</v>
      </c>
      <c r="E105" s="67">
        <f>35</f>
        <v>35</v>
      </c>
      <c r="F105" s="13"/>
      <c r="G105" s="9">
        <f t="shared" si="7"/>
        <v>0</v>
      </c>
    </row>
    <row r="106" spans="1:7" ht="25.5" x14ac:dyDescent="0.25">
      <c r="A106" s="201"/>
      <c r="B106" s="106" t="s">
        <v>58</v>
      </c>
      <c r="C106" s="155" t="s">
        <v>109</v>
      </c>
      <c r="D106" s="44" t="s">
        <v>110</v>
      </c>
      <c r="E106" s="67">
        <f>235</f>
        <v>235</v>
      </c>
      <c r="F106" s="13"/>
      <c r="G106" s="9">
        <f t="shared" si="7"/>
        <v>0</v>
      </c>
    </row>
    <row r="107" spans="1:7" ht="25.5" x14ac:dyDescent="0.25">
      <c r="A107" s="201"/>
      <c r="B107" s="106" t="s">
        <v>60</v>
      </c>
      <c r="C107" s="155" t="s">
        <v>111</v>
      </c>
      <c r="D107" s="44" t="s">
        <v>112</v>
      </c>
      <c r="E107" s="66">
        <f>175</f>
        <v>175</v>
      </c>
      <c r="F107" s="13"/>
      <c r="G107" s="9">
        <f t="shared" si="7"/>
        <v>0</v>
      </c>
    </row>
    <row r="108" spans="1:7" ht="25.5" x14ac:dyDescent="0.25">
      <c r="A108" s="201"/>
      <c r="B108" s="106" t="s">
        <v>61</v>
      </c>
      <c r="C108" s="155" t="s">
        <v>115</v>
      </c>
      <c r="D108" s="44" t="s">
        <v>116</v>
      </c>
      <c r="E108" s="66">
        <f>100</f>
        <v>100</v>
      </c>
      <c r="F108" s="13"/>
      <c r="G108" s="9">
        <f t="shared" si="7"/>
        <v>0</v>
      </c>
    </row>
    <row r="109" spans="1:7" ht="25.5" x14ac:dyDescent="0.25">
      <c r="A109" s="201"/>
      <c r="B109" s="106" t="s">
        <v>69</v>
      </c>
      <c r="C109" s="141" t="s">
        <v>175</v>
      </c>
      <c r="D109" s="149" t="s">
        <v>19</v>
      </c>
      <c r="E109" s="133">
        <v>175</v>
      </c>
      <c r="F109" s="13"/>
      <c r="G109" s="9">
        <f t="shared" si="7"/>
        <v>0</v>
      </c>
    </row>
    <row r="110" spans="1:7" ht="25.5" x14ac:dyDescent="0.25">
      <c r="A110" s="201"/>
      <c r="B110" s="106" t="s">
        <v>77</v>
      </c>
      <c r="C110" s="141" t="s">
        <v>119</v>
      </c>
      <c r="D110" s="43" t="s">
        <v>120</v>
      </c>
      <c r="E110" s="131">
        <f>258+250</f>
        <v>508</v>
      </c>
      <c r="F110" s="13"/>
      <c r="G110" s="9">
        <f t="shared" si="7"/>
        <v>0</v>
      </c>
    </row>
    <row r="111" spans="1:7" ht="25.5" x14ac:dyDescent="0.25">
      <c r="A111" s="201"/>
      <c r="B111" s="106" t="s">
        <v>78</v>
      </c>
      <c r="C111" s="140" t="s">
        <v>176</v>
      </c>
      <c r="D111" s="43" t="s">
        <v>177</v>
      </c>
      <c r="E111" s="126">
        <f>187+180</f>
        <v>367</v>
      </c>
      <c r="F111" s="13"/>
      <c r="G111" s="9">
        <f t="shared" si="7"/>
        <v>0</v>
      </c>
    </row>
    <row r="112" spans="1:7" ht="25.5" x14ac:dyDescent="0.25">
      <c r="A112" s="201"/>
      <c r="B112" s="106" t="s">
        <v>79</v>
      </c>
      <c r="C112" s="101" t="s">
        <v>178</v>
      </c>
      <c r="D112" s="43" t="s">
        <v>179</v>
      </c>
      <c r="E112" s="126">
        <f>190</f>
        <v>190</v>
      </c>
      <c r="F112" s="13"/>
      <c r="G112" s="9">
        <f t="shared" si="7"/>
        <v>0</v>
      </c>
    </row>
    <row r="113" spans="1:7" ht="25.5" x14ac:dyDescent="0.25">
      <c r="A113" s="201"/>
      <c r="B113" s="106" t="s">
        <v>80</v>
      </c>
      <c r="C113" s="141" t="s">
        <v>180</v>
      </c>
      <c r="D113" s="43" t="s">
        <v>181</v>
      </c>
      <c r="E113" s="126">
        <f>302+180</f>
        <v>482</v>
      </c>
      <c r="F113" s="13"/>
      <c r="G113" s="9">
        <f t="shared" si="7"/>
        <v>0</v>
      </c>
    </row>
    <row r="114" spans="1:7" ht="25.5" x14ac:dyDescent="0.25">
      <c r="A114" s="201"/>
      <c r="B114" s="106" t="s">
        <v>81</v>
      </c>
      <c r="C114" s="43" t="s">
        <v>121</v>
      </c>
      <c r="D114" s="149" t="s">
        <v>99</v>
      </c>
      <c r="E114" s="126">
        <f>300</f>
        <v>300</v>
      </c>
      <c r="F114" s="13"/>
      <c r="G114" s="9">
        <f t="shared" si="7"/>
        <v>0</v>
      </c>
    </row>
    <row r="115" spans="1:7" ht="25.5" x14ac:dyDescent="0.25">
      <c r="A115" s="201"/>
      <c r="B115" s="106" t="s">
        <v>96</v>
      </c>
      <c r="C115" s="150" t="s">
        <v>182</v>
      </c>
      <c r="D115" s="149" t="s">
        <v>183</v>
      </c>
      <c r="E115" s="126">
        <v>244</v>
      </c>
      <c r="F115" s="13"/>
      <c r="G115" s="9">
        <f t="shared" si="7"/>
        <v>0</v>
      </c>
    </row>
    <row r="116" spans="1:7" ht="25.5" x14ac:dyDescent="0.25">
      <c r="A116" s="201"/>
      <c r="B116" s="106" t="s">
        <v>65</v>
      </c>
      <c r="C116" s="44" t="s">
        <v>192</v>
      </c>
      <c r="D116" s="149" t="s">
        <v>184</v>
      </c>
      <c r="E116" s="126">
        <f>300</f>
        <v>300</v>
      </c>
      <c r="F116" s="13"/>
      <c r="G116" s="9">
        <f t="shared" si="7"/>
        <v>0</v>
      </c>
    </row>
    <row r="117" spans="1:7" ht="26.25" x14ac:dyDescent="0.25">
      <c r="A117" s="201"/>
      <c r="B117" s="106" t="s">
        <v>66</v>
      </c>
      <c r="C117" s="153" t="s">
        <v>185</v>
      </c>
      <c r="D117" s="43" t="s">
        <v>183</v>
      </c>
      <c r="E117" s="126">
        <f>254</f>
        <v>254</v>
      </c>
      <c r="F117" s="13"/>
      <c r="G117" s="9">
        <f t="shared" si="7"/>
        <v>0</v>
      </c>
    </row>
    <row r="118" spans="1:7" ht="26.25" x14ac:dyDescent="0.25">
      <c r="A118" s="201"/>
      <c r="B118" s="106" t="s">
        <v>67</v>
      </c>
      <c r="C118" s="152" t="s">
        <v>186</v>
      </c>
      <c r="D118" s="140" t="s">
        <v>187</v>
      </c>
      <c r="E118" s="128">
        <f>190</f>
        <v>190</v>
      </c>
      <c r="F118" s="121"/>
      <c r="G118" s="16">
        <f t="shared" si="7"/>
        <v>0</v>
      </c>
    </row>
    <row r="119" spans="1:7" x14ac:dyDescent="0.25">
      <c r="A119" s="201"/>
      <c r="B119" s="87"/>
      <c r="C119" s="171" t="s">
        <v>28</v>
      </c>
      <c r="D119" s="171"/>
      <c r="E119" s="20">
        <f>SUM(E94:E118)</f>
        <v>7634</v>
      </c>
      <c r="F119" s="100"/>
      <c r="G119" s="79">
        <f>SUM(G94:G118)</f>
        <v>0</v>
      </c>
    </row>
    <row r="120" spans="1:7" ht="15.75" x14ac:dyDescent="0.25">
      <c r="A120" s="196" t="s">
        <v>125</v>
      </c>
      <c r="B120" s="199"/>
      <c r="C120" s="199"/>
      <c r="D120" s="199"/>
      <c r="E120" s="199"/>
      <c r="F120" s="199"/>
      <c r="G120" s="200"/>
    </row>
    <row r="121" spans="1:7" ht="25.5" x14ac:dyDescent="0.25">
      <c r="A121" s="190"/>
      <c r="B121" s="10" t="s">
        <v>41</v>
      </c>
      <c r="C121" s="147" t="s">
        <v>127</v>
      </c>
      <c r="D121" s="143" t="s">
        <v>193</v>
      </c>
      <c r="E121" s="127">
        <f>434+31</f>
        <v>465</v>
      </c>
      <c r="F121" s="13"/>
      <c r="G121" s="9">
        <f>E121*F121</f>
        <v>0</v>
      </c>
    </row>
    <row r="122" spans="1:7" ht="25.5" x14ac:dyDescent="0.25">
      <c r="A122" s="190"/>
      <c r="B122" s="10" t="s">
        <v>42</v>
      </c>
      <c r="C122" s="44" t="s">
        <v>128</v>
      </c>
      <c r="D122" s="41" t="s">
        <v>129</v>
      </c>
      <c r="E122" s="126">
        <f>450+35</f>
        <v>485</v>
      </c>
      <c r="F122" s="13"/>
      <c r="G122" s="9">
        <f t="shared" ref="G122:G126" si="8">E122*F122</f>
        <v>0</v>
      </c>
    </row>
    <row r="123" spans="1:7" ht="25.5" x14ac:dyDescent="0.25">
      <c r="A123" s="190"/>
      <c r="B123" s="10" t="s">
        <v>43</v>
      </c>
      <c r="C123" s="150" t="s">
        <v>130</v>
      </c>
      <c r="D123" s="150" t="s">
        <v>131</v>
      </c>
      <c r="E123" s="66">
        <f>110</f>
        <v>110</v>
      </c>
      <c r="F123" s="13"/>
      <c r="G123" s="9">
        <f t="shared" si="8"/>
        <v>0</v>
      </c>
    </row>
    <row r="124" spans="1:7" ht="25.5" x14ac:dyDescent="0.25">
      <c r="A124" s="190"/>
      <c r="B124" s="10" t="s">
        <v>44</v>
      </c>
      <c r="C124" s="43" t="s">
        <v>133</v>
      </c>
      <c r="D124" s="44" t="s">
        <v>132</v>
      </c>
      <c r="E124" s="66">
        <f>333+21</f>
        <v>354</v>
      </c>
      <c r="F124" s="13"/>
      <c r="G124" s="9">
        <f t="shared" si="8"/>
        <v>0</v>
      </c>
    </row>
    <row r="125" spans="1:7" x14ac:dyDescent="0.25">
      <c r="A125" s="190"/>
      <c r="B125" s="10" t="s">
        <v>45</v>
      </c>
      <c r="C125" s="43" t="s">
        <v>135</v>
      </c>
      <c r="D125" s="43" t="s">
        <v>26</v>
      </c>
      <c r="E125" s="126">
        <f>359+21</f>
        <v>380</v>
      </c>
      <c r="F125" s="13"/>
      <c r="G125" s="9">
        <f t="shared" si="8"/>
        <v>0</v>
      </c>
    </row>
    <row r="126" spans="1:7" ht="25.5" x14ac:dyDescent="0.25">
      <c r="A126" s="190"/>
      <c r="B126" s="10" t="s">
        <v>5</v>
      </c>
      <c r="C126" s="140" t="s">
        <v>138</v>
      </c>
      <c r="D126" s="140" t="s">
        <v>139</v>
      </c>
      <c r="E126" s="124">
        <f>262+25</f>
        <v>287</v>
      </c>
      <c r="F126" s="13"/>
      <c r="G126" s="9">
        <f t="shared" si="8"/>
        <v>0</v>
      </c>
    </row>
    <row r="127" spans="1:7" x14ac:dyDescent="0.25">
      <c r="A127" s="190"/>
      <c r="B127" s="19"/>
      <c r="C127" s="171" t="s">
        <v>33</v>
      </c>
      <c r="D127" s="171"/>
      <c r="E127" s="20">
        <f>SUM(E121:E126)</f>
        <v>2081</v>
      </c>
      <c r="F127" s="21" t="s">
        <v>142</v>
      </c>
      <c r="G127" s="79">
        <f>SUM(G121:G126)</f>
        <v>0</v>
      </c>
    </row>
    <row r="128" spans="1:7" ht="15.75" thickBot="1" x14ac:dyDescent="0.3">
      <c r="A128" s="111"/>
      <c r="B128" s="107"/>
      <c r="C128" s="195" t="s">
        <v>34</v>
      </c>
      <c r="D128" s="195"/>
      <c r="E128" s="108">
        <f>E127+E119+E92</f>
        <v>21725</v>
      </c>
      <c r="F128" s="112" t="s">
        <v>35</v>
      </c>
      <c r="G128" s="113">
        <f>SUM(G92,G119,G127)</f>
        <v>0</v>
      </c>
    </row>
    <row r="129" spans="1:7" ht="15.75" thickTop="1" x14ac:dyDescent="0.25">
      <c r="F129" s="114" t="s">
        <v>143</v>
      </c>
      <c r="G129" s="113">
        <f>G128*0.08</f>
        <v>0</v>
      </c>
    </row>
    <row r="130" spans="1:7" ht="15.75" thickBot="1" x14ac:dyDescent="0.3">
      <c r="F130" s="109" t="s">
        <v>36</v>
      </c>
      <c r="G130" s="117">
        <f>G128*1.08</f>
        <v>0</v>
      </c>
    </row>
    <row r="131" spans="1:7" ht="16.5" thickTop="1" x14ac:dyDescent="0.25">
      <c r="A131" s="196" t="s">
        <v>194</v>
      </c>
      <c r="B131" s="199"/>
      <c r="C131" s="199"/>
      <c r="D131" s="199"/>
      <c r="E131" s="199"/>
      <c r="F131" s="199"/>
      <c r="G131" s="200"/>
    </row>
    <row r="132" spans="1:7" x14ac:dyDescent="0.25">
      <c r="A132" s="206" t="s">
        <v>195</v>
      </c>
      <c r="B132" s="207"/>
      <c r="C132" s="207"/>
      <c r="D132" s="207"/>
      <c r="E132" s="207"/>
      <c r="F132" s="208"/>
      <c r="G132" s="168">
        <f>G128+G66</f>
        <v>0</v>
      </c>
    </row>
    <row r="133" spans="1:7" x14ac:dyDescent="0.25">
      <c r="A133" s="206" t="s">
        <v>196</v>
      </c>
      <c r="B133" s="207"/>
      <c r="C133" s="207"/>
      <c r="D133" s="207"/>
      <c r="E133" s="207"/>
      <c r="F133" s="208"/>
      <c r="G133" s="168">
        <f>G129+G67</f>
        <v>0</v>
      </c>
    </row>
    <row r="134" spans="1:7" x14ac:dyDescent="0.25">
      <c r="A134" s="206" t="s">
        <v>197</v>
      </c>
      <c r="B134" s="207"/>
      <c r="C134" s="207"/>
      <c r="D134" s="207"/>
      <c r="E134" s="207"/>
      <c r="F134" s="208"/>
      <c r="G134" s="169">
        <f>G130+G68</f>
        <v>0</v>
      </c>
    </row>
  </sheetData>
  <mergeCells count="33">
    <mergeCell ref="C128:D128"/>
    <mergeCell ref="A131:G131"/>
    <mergeCell ref="A132:F132"/>
    <mergeCell ref="A133:F133"/>
    <mergeCell ref="A134:F134"/>
    <mergeCell ref="A121:A127"/>
    <mergeCell ref="C127:D127"/>
    <mergeCell ref="C66:D66"/>
    <mergeCell ref="A70:G70"/>
    <mergeCell ref="A71:A92"/>
    <mergeCell ref="C71:D71"/>
    <mergeCell ref="C77:D77"/>
    <mergeCell ref="C88:D88"/>
    <mergeCell ref="C92:D92"/>
    <mergeCell ref="A69:G69"/>
    <mergeCell ref="A93:G93"/>
    <mergeCell ref="A94:A119"/>
    <mergeCell ref="C119:D119"/>
    <mergeCell ref="A120:G120"/>
    <mergeCell ref="A28:G28"/>
    <mergeCell ref="A29:A54"/>
    <mergeCell ref="C54:D54"/>
    <mergeCell ref="A55:G55"/>
    <mergeCell ref="A56:A65"/>
    <mergeCell ref="C65:D65"/>
    <mergeCell ref="D1:G1"/>
    <mergeCell ref="A2:G2"/>
    <mergeCell ref="A6:G6"/>
    <mergeCell ref="A7:A27"/>
    <mergeCell ref="C7:D7"/>
    <mergeCell ref="C18:D18"/>
    <mergeCell ref="C27:D27"/>
    <mergeCell ref="A5:G5"/>
  </mergeCells>
  <printOptions horizontalCentered="1"/>
  <pageMargins left="0.59055118110236227" right="0.31496062992125984" top="0.19685039370078741" bottom="0.35433070866141736" header="0.31496062992125984" footer="0.31496062992125984"/>
  <pageSetup paperSize="9" scale="9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7976D5E34AB774A9BED488E54F28EDF" ma:contentTypeVersion="22" ma:contentTypeDescription="Utwórz nowy dokument." ma:contentTypeScope="" ma:versionID="93d3701bf427b97adecfc8b647b02730">
  <xsd:schema xmlns:xsd="http://www.w3.org/2001/XMLSchema" xmlns:xs="http://www.w3.org/2001/XMLSchema" xmlns:p="http://schemas.microsoft.com/office/2006/metadata/properties" xmlns:ns2="f4b86557-b6b9-4d61-aca3-5956646c4a8e" xmlns:ns3="b354825f-0999-49da-9ce1-353349aabe11" targetNamespace="http://schemas.microsoft.com/office/2006/metadata/properties" ma:root="true" ma:fieldsID="ac87804b02e621164ac92b57a95a5577" ns2:_="" ns3:_="">
    <xsd:import namespace="f4b86557-b6b9-4d61-aca3-5956646c4a8e"/>
    <xsd:import namespace="b354825f-0999-49da-9ce1-353349aabe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Podgl_x0105_d" minOccurs="0"/>
                <xsd:element ref="ns3:TaxCatchAll" minOccurs="0"/>
                <xsd:element ref="ns2:lcf76f155ced4ddcb4097134ff3c332f" minOccurs="0"/>
                <xsd:element ref="ns2:liczb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b86557-b6b9-4d61-aca3-5956646c4a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Podgl_x0105_d" ma:index="21" nillable="true" ma:displayName="Podgląd" ma:format="Thumbnail" ma:internalName="Podgl_x0105_d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Tagi obrazów" ma:readOnly="false" ma:fieldId="{5cf76f15-5ced-4ddc-b409-7134ff3c332f}" ma:taxonomyMulti="true" ma:sspId="e492ed91-a7b0-4703-9148-d0f7067db2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liczba" ma:index="25" nillable="true" ma:displayName="liczba" ma:decimals="1" ma:default="1" ma:format="Dropdown" ma:internalName="liczba" ma:percentage="FALSE">
      <xsd:simpleType>
        <xsd:restriction base="dms:Number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54825f-0999-49da-9ce1-353349aabe1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f78f5e-5133-42c3-b28c-5da613a58fad}" ma:internalName="TaxCatchAll" ma:showField="CatchAllData" ma:web="b354825f-0999-49da-9ce1-353349aabe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4b86557-b6b9-4d61-aca3-5956646c4a8e">
      <Terms xmlns="http://schemas.microsoft.com/office/infopath/2007/PartnerControls"/>
    </lcf76f155ced4ddcb4097134ff3c332f>
    <liczba xmlns="f4b86557-b6b9-4d61-aca3-5956646c4a8e">1</liczba>
    <Podgl_x0105_d xmlns="f4b86557-b6b9-4d61-aca3-5956646c4a8e" xsi:nil="true"/>
    <TaxCatchAll xmlns="b354825f-0999-49da-9ce1-353349aabe11" xsi:nil="true"/>
  </documentManagement>
</p:properties>
</file>

<file path=customXml/itemProps1.xml><?xml version="1.0" encoding="utf-8"?>
<ds:datastoreItem xmlns:ds="http://schemas.openxmlformats.org/officeDocument/2006/customXml" ds:itemID="{0D814792-8F9B-49F9-8160-D13A6E4A5D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b86557-b6b9-4d61-aca3-5956646c4a8e"/>
    <ds:schemaRef ds:uri="b354825f-0999-49da-9ce1-353349aabe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260EF6-8C2D-466A-9D02-C91044557E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56D296-E567-425B-9690-42450E10EF0C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f4b86557-b6b9-4d61-aca3-5956646c4a8e"/>
    <ds:schemaRef ds:uri="b354825f-0999-49da-9ce1-353349aabe11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Zakres - Parki Zabytkowe 26-27</vt:lpstr>
      <vt:lpstr>'Zakres - Parki Zabytkowe 26-27'!Obszar_wydruku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Szumała Katarzyna</dc:creator>
  <cp:keywords/>
  <dc:description/>
  <cp:lastModifiedBy>Chajbos Karolina</cp:lastModifiedBy>
  <cp:revision/>
  <dcterms:created xsi:type="dcterms:W3CDTF">2024-01-24T13:20:08Z</dcterms:created>
  <dcterms:modified xsi:type="dcterms:W3CDTF">2026-02-05T09:03:36Z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0x010100D7976D5E34AB774A9BED488E54F28EDF</vt:lpwstr>
  </property>
  <property fmtid="{D5CDD505-2E9C-101B-9397-08002B2CF9AE}" pid="3" name="MediaServiceImageTags">
    <vt:lpwstr/>
  </property>
</Properties>
</file>